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6_17.bin" ContentType="application/vnd.openxmlformats-officedocument.oleObject"/>
  <Override PartName="/xl/embeddings/oleObject_6_18.bin" ContentType="application/vnd.openxmlformats-officedocument.oleObject"/>
  <Override PartName="/xl/embeddings/oleObject_6_19.bin" ContentType="application/vnd.openxmlformats-officedocument.oleObject"/>
  <Override PartName="/xl/embeddings/oleObject_6_20.bin" ContentType="application/vnd.openxmlformats-officedocument.oleObject"/>
  <Override PartName="/xl/embeddings/oleObject_6_21.bin" ContentType="application/vnd.openxmlformats-officedocument.oleObject"/>
  <Override PartName="/xl/embeddings/oleObject_6_22.bin" ContentType="application/vnd.openxmlformats-officedocument.oleObject"/>
  <Override PartName="/xl/embeddings/oleObject_6_23.bin" ContentType="application/vnd.openxmlformats-officedocument.oleObject"/>
  <Override PartName="/xl/embeddings/oleObject_6_24.bin" ContentType="application/vnd.openxmlformats-officedocument.oleObject"/>
  <Override PartName="/xl/embeddings/oleObject_6_25.bin" ContentType="application/vnd.openxmlformats-officedocument.oleObject"/>
  <Override PartName="/xl/embeddings/oleObject_6_26.bin" ContentType="application/vnd.openxmlformats-officedocument.oleObject"/>
  <Override PartName="/xl/embeddings/oleObject_6_27.bin" ContentType="application/vnd.openxmlformats-officedocument.oleObject"/>
  <Override PartName="/xl/embeddings/oleObject_6_28.bin" ContentType="application/vnd.openxmlformats-officedocument.oleObject"/>
  <Override PartName="/xl/embeddings/oleObject_6_29.bin" ContentType="application/vnd.openxmlformats-officedocument.oleObject"/>
  <Override PartName="/xl/embeddings/oleObject_6_30.bin" ContentType="application/vnd.openxmlformats-officedocument.oleObject"/>
  <Override PartName="/xl/embeddings/oleObject_6_31.bin" ContentType="application/vnd.openxmlformats-officedocument.oleObject"/>
  <Override PartName="/xl/embeddings/oleObject_6_32.bin" ContentType="application/vnd.openxmlformats-officedocument.oleObject"/>
  <Override PartName="/xl/embeddings/oleObject_6_33.bin" ContentType="application/vnd.openxmlformats-officedocument.oleObject"/>
  <Override PartName="/xl/embeddings/oleObject_6_34.bin" ContentType="application/vnd.openxmlformats-officedocument.oleObject"/>
  <Override PartName="/xl/embeddings/oleObject_6_35.bin" ContentType="application/vnd.openxmlformats-officedocument.oleObject"/>
  <Override PartName="/xl/embeddings/oleObject_6_36.bin" ContentType="application/vnd.openxmlformats-officedocument.oleObject"/>
  <Override PartName="/xl/embeddings/oleObject_6_37.bin" ContentType="application/vnd.openxmlformats-officedocument.oleObject"/>
  <Override PartName="/xl/embeddings/oleObject_6_38.bin" ContentType="application/vnd.openxmlformats-officedocument.oleObject"/>
  <Override PartName="/xl/embeddings/oleObject_6_39.bin" ContentType="application/vnd.openxmlformats-officedocument.oleObject"/>
  <Override PartName="/xl/embeddings/oleObject_6_40.bin" ContentType="application/vnd.openxmlformats-officedocument.oleObject"/>
  <Override PartName="/xl/embeddings/oleObject_6_41.bin" ContentType="application/vnd.openxmlformats-officedocument.oleObject"/>
  <Override PartName="/xl/embeddings/oleObject_6_42.bin" ContentType="application/vnd.openxmlformats-officedocument.oleObject"/>
  <Override PartName="/xl/embeddings/oleObject_6_43.bin" ContentType="application/vnd.openxmlformats-officedocument.oleObject"/>
  <Override PartName="/xl/embeddings/oleObject_6_44.bin" ContentType="application/vnd.openxmlformats-officedocument.oleObject"/>
  <Override PartName="/xl/embeddings/oleObject_6_45.bin" ContentType="application/vnd.openxmlformats-officedocument.oleObject"/>
  <Override PartName="/xl/embeddings/oleObject_6_46.bin" ContentType="application/vnd.openxmlformats-officedocument.oleObject"/>
  <Override PartName="/xl/embeddings/oleObject_6_47.bin" ContentType="application/vnd.openxmlformats-officedocument.oleObject"/>
  <Override PartName="/xl/embeddings/oleObject_6_48.bin" ContentType="application/vnd.openxmlformats-officedocument.oleObject"/>
  <Override PartName="/xl/embeddings/oleObject_6_49.bin" ContentType="application/vnd.openxmlformats-officedocument.oleObject"/>
  <Override PartName="/xl/embeddings/oleObject_6_50.bin" ContentType="application/vnd.openxmlformats-officedocument.oleObject"/>
  <Override PartName="/xl/embeddings/oleObject_6_51.bin" ContentType="application/vnd.openxmlformats-officedocument.oleObject"/>
  <Override PartName="/xl/embeddings/oleObject_6_52.bin" ContentType="application/vnd.openxmlformats-officedocument.oleObject"/>
  <Override PartName="/xl/embeddings/oleObject_6_53.bin" ContentType="application/vnd.openxmlformats-officedocument.oleObject"/>
  <Override PartName="/xl/embeddings/oleObject_6_54.bin" ContentType="application/vnd.openxmlformats-officedocument.oleObject"/>
  <Override PartName="/xl/embeddings/oleObject_6_55.bin" ContentType="application/vnd.openxmlformats-officedocument.oleObject"/>
  <Override PartName="/xl/embeddings/oleObject_6_56.bin" ContentType="application/vnd.openxmlformats-officedocument.oleObject"/>
  <Override PartName="/xl/embeddings/oleObject_6_57.bin" ContentType="application/vnd.openxmlformats-officedocument.oleObject"/>
  <Override PartName="/xl/embeddings/oleObject_6_58.bin" ContentType="application/vnd.openxmlformats-officedocument.oleObject"/>
  <Override PartName="/xl/embeddings/oleObject_6_59.bin" ContentType="application/vnd.openxmlformats-officedocument.oleObject"/>
  <Override PartName="/xl/embeddings/oleObject_6_60.bin" ContentType="application/vnd.openxmlformats-officedocument.oleObject"/>
  <Override PartName="/xl/embeddings/oleObject_6_61.bin" ContentType="application/vnd.openxmlformats-officedocument.oleObject"/>
  <Override PartName="/xl/embeddings/oleObject_6_62.bin" ContentType="application/vnd.openxmlformats-officedocument.oleObject"/>
  <Override PartName="/xl/embeddings/oleObject_6_63.bin" ContentType="application/vnd.openxmlformats-officedocument.oleObject"/>
  <Override PartName="/xl/embeddings/oleObject_6_64.bin" ContentType="application/vnd.openxmlformats-officedocument.oleObject"/>
  <Override PartName="/xl/embeddings/oleObject_6_65.bin" ContentType="application/vnd.openxmlformats-officedocument.oleObject"/>
  <Override PartName="/xl/embeddings/oleObject_6_66.bin" ContentType="application/vnd.openxmlformats-officedocument.oleObject"/>
  <Override PartName="/xl/embeddings/oleObject_6_67.bin" ContentType="application/vnd.openxmlformats-officedocument.oleObject"/>
  <Override PartName="/xl/embeddings/oleObject_6_68.bin" ContentType="application/vnd.openxmlformats-officedocument.oleObject"/>
  <Override PartName="/xl/embeddings/oleObject_6_69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390" windowHeight="4650" activeTab="0"/>
  </bookViews>
  <sheets>
    <sheet name="Correlation Intro" sheetId="1" r:id="rId1"/>
    <sheet name="Standard Error of Estimate" sheetId="2" r:id="rId2"/>
    <sheet name="Factors Influencing r" sheetId="3" r:id="rId3"/>
    <sheet name="Regression Inference" sheetId="4" r:id="rId4"/>
    <sheet name="JMP Regression Example" sheetId="5" r:id="rId5"/>
    <sheet name="Fisher's Z" sheetId="6" r:id="rId6"/>
    <sheet name="Math Formulas" sheetId="7" r:id="rId7"/>
  </sheets>
  <definedNames/>
  <calcPr fullCalcOnLoad="1"/>
</workbook>
</file>

<file path=xl/sharedStrings.xml><?xml version="1.0" encoding="utf-8"?>
<sst xmlns="http://schemas.openxmlformats.org/spreadsheetml/2006/main" count="341" uniqueCount="248">
  <si>
    <t>X</t>
  </si>
  <si>
    <t>Y</t>
  </si>
  <si>
    <t>Height</t>
  </si>
  <si>
    <t>Weight</t>
  </si>
  <si>
    <t>Predictor</t>
  </si>
  <si>
    <t>Criterion</t>
  </si>
  <si>
    <t>Equations</t>
  </si>
  <si>
    <t>Y = mX + b</t>
  </si>
  <si>
    <t>b = Y intercept</t>
  </si>
  <si>
    <t>c = Y intercept</t>
  </si>
  <si>
    <t>Properties of Correlation Coefficients</t>
  </si>
  <si>
    <t>1)</t>
  </si>
  <si>
    <t>2)</t>
  </si>
  <si>
    <t>3)</t>
  </si>
  <si>
    <r>
      <t xml:space="preserve">Sign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indicates direction of relation</t>
    </r>
  </si>
  <si>
    <t>4)</t>
  </si>
  <si>
    <t>5)</t>
  </si>
  <si>
    <t>6)</t>
  </si>
  <si>
    <r>
      <t>Size of |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>| indicates strength of relation</t>
    </r>
  </si>
  <si>
    <r>
      <t>r</t>
    </r>
    <r>
      <rPr>
        <i/>
        <vertAlign val="subscript"/>
        <sz val="10"/>
        <rFont val="Arial"/>
        <family val="2"/>
      </rPr>
      <t>XY</t>
    </r>
    <r>
      <rPr>
        <i/>
        <sz val="10"/>
        <rFont val="Arial"/>
        <family val="2"/>
      </rPr>
      <t xml:space="preserve"> = r</t>
    </r>
    <r>
      <rPr>
        <i/>
        <vertAlign val="subscript"/>
        <sz val="10"/>
        <rFont val="Arial"/>
        <family val="2"/>
      </rPr>
      <t>YX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</si>
  <si>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proportional reduction in uncertainty in predicting Y that's gained by knowing X</t>
    </r>
  </si>
  <si>
    <t>Y= 2 + X</t>
  </si>
  <si>
    <t>Y= 3 - .5X</t>
  </si>
  <si>
    <t>Y= 2X - 1</t>
  </si>
  <si>
    <t>Y= 3.5</t>
  </si>
  <si>
    <t>m = slope = rise/run = dY/dX</t>
  </si>
  <si>
    <t>b = slope = rise/run = dY/dX</t>
  </si>
  <si>
    <t>Data = Fit + Residual</t>
  </si>
  <si>
    <t>XY</t>
  </si>
  <si>
    <r>
      <t>X</t>
    </r>
    <r>
      <rPr>
        <vertAlign val="superscript"/>
        <sz val="10"/>
        <rFont val="Arial"/>
        <family val="2"/>
      </rPr>
      <t>2</t>
    </r>
  </si>
  <si>
    <t>M</t>
  </si>
  <si>
    <t>Y'</t>
  </si>
  <si>
    <t>e = Y - Y'</t>
  </si>
  <si>
    <t>Y' = -.78571X + 6.14284</t>
  </si>
  <si>
    <r>
      <t>Centroid (M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, M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) = (4,3)</t>
    </r>
  </si>
  <si>
    <t>b=</t>
  </si>
  <si>
    <t>=</t>
  </si>
  <si>
    <t>c=</t>
  </si>
  <si>
    <t>3-(-.78571*4) =</t>
  </si>
  <si>
    <t>ACT</t>
  </si>
  <si>
    <t>M = 20</t>
  </si>
  <si>
    <t>s = 5</t>
  </si>
  <si>
    <t>GPA</t>
  </si>
  <si>
    <t>M = 2.6</t>
  </si>
  <si>
    <t>s = .8</t>
  </si>
  <si>
    <r>
      <t>r</t>
    </r>
    <r>
      <rPr>
        <sz val="10"/>
        <rFont val="Arial"/>
        <family val="2"/>
      </rPr>
      <t xml:space="preserve"> = .6</t>
    </r>
  </si>
  <si>
    <t>What GPA would you predict for a person with ACT = 25?</t>
  </si>
  <si>
    <t>b =</t>
  </si>
  <si>
    <t>c =</t>
  </si>
  <si>
    <t>GPA'</t>
  </si>
  <si>
    <t>Raw-score regression equation</t>
  </si>
  <si>
    <r>
      <t>z</t>
    </r>
    <r>
      <rPr>
        <vertAlign val="subscript"/>
        <sz val="10"/>
        <rFont val="Arial"/>
        <family val="2"/>
      </rPr>
      <t>X</t>
    </r>
  </si>
  <si>
    <r>
      <t>z</t>
    </r>
    <r>
      <rPr>
        <vertAlign val="subscript"/>
        <sz val="10"/>
        <rFont val="Arial"/>
        <family val="2"/>
      </rPr>
      <t>Y</t>
    </r>
  </si>
  <si>
    <r>
      <t>z'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 .6*z</t>
    </r>
    <r>
      <rPr>
        <vertAlign val="subscript"/>
        <sz val="10"/>
        <rFont val="Arial"/>
        <family val="2"/>
      </rPr>
      <t>X</t>
    </r>
  </si>
  <si>
    <t>Standardized regression equation</t>
  </si>
  <si>
    <r>
      <t>z'</t>
    </r>
    <r>
      <rPr>
        <vertAlign val="subscript"/>
        <sz val="10"/>
        <rFont val="Arial"/>
        <family val="2"/>
      </rPr>
      <t>Y</t>
    </r>
  </si>
  <si>
    <t>variance error of estimate ≈ mean square error = MSE</t>
  </si>
  <si>
    <t>Usual Assumptions in Regression Analysis</t>
  </si>
  <si>
    <t>The means of all the conditional distributions of Y|X lie on a straight line (linearity).</t>
  </si>
  <si>
    <t>The variances of all the conditional distributions are equal (homoscedasticity).</t>
  </si>
  <si>
    <t>Points are a random sample of points from the population.</t>
  </si>
  <si>
    <t>The conditional distributions are all normal (normality).</t>
  </si>
  <si>
    <r>
      <t>s</t>
    </r>
    <r>
      <rPr>
        <vertAlign val="superscript"/>
        <sz val="10"/>
        <rFont val="Arial"/>
        <family val="2"/>
      </rPr>
      <t>2</t>
    </r>
  </si>
  <si>
    <t>standard error of estimate ≈ root mean square error = RMSE</t>
  </si>
  <si>
    <t>What proportion of people with ACT = 12 would be expected to have GPA &gt; 2.0?</t>
  </si>
  <si>
    <r>
      <t>M</t>
    </r>
    <r>
      <rPr>
        <sz val="10"/>
        <rFont val="Arial"/>
        <family val="0"/>
      </rPr>
      <t xml:space="preserve"> = 20</t>
    </r>
  </si>
  <si>
    <r>
      <t>M</t>
    </r>
    <r>
      <rPr>
        <sz val="10"/>
        <rFont val="Arial"/>
        <family val="0"/>
      </rPr>
      <t xml:space="preserve"> = 2.6</t>
    </r>
  </si>
  <si>
    <r>
      <t>s</t>
    </r>
    <r>
      <rPr>
        <sz val="10"/>
        <rFont val="Arial"/>
        <family val="0"/>
      </rPr>
      <t xml:space="preserve"> = 5</t>
    </r>
  </si>
  <si>
    <r>
      <t>s</t>
    </r>
    <r>
      <rPr>
        <sz val="10"/>
        <rFont val="Arial"/>
        <family val="0"/>
      </rPr>
      <t xml:space="preserve"> = .8</t>
    </r>
  </si>
  <si>
    <t>Find a 95% CI for GPA of a person with ACT = 25</t>
  </si>
  <si>
    <t>Regression toward the mean</t>
  </si>
  <si>
    <t>Covariance</t>
  </si>
  <si>
    <t>Outliers</t>
  </si>
  <si>
    <t>Restricted Variability</t>
  </si>
  <si>
    <t>Measurement Error</t>
  </si>
  <si>
    <t>Marginal Distributions</t>
  </si>
  <si>
    <t>where</t>
  </si>
  <si>
    <r>
      <t>df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- 2</t>
    </r>
  </si>
  <si>
    <r>
      <t>n</t>
    </r>
    <r>
      <rPr>
        <sz val="10"/>
        <rFont val="Arial"/>
        <family val="2"/>
      </rPr>
      <t xml:space="preserve"> = 27,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= 0.30</t>
    </r>
  </si>
  <si>
    <r>
      <t>t</t>
    </r>
    <r>
      <rPr>
        <sz val="10"/>
        <rFont val="Arial"/>
        <family val="2"/>
      </rPr>
      <t xml:space="preserve">(25) = </t>
    </r>
  </si>
  <si>
    <t>n</t>
  </si>
  <si>
    <t>m =</t>
  </si>
  <si>
    <t>s =</t>
  </si>
  <si>
    <t>Normal</t>
  </si>
  <si>
    <t>Parent</t>
  </si>
  <si>
    <t>Samp dist mean</t>
  </si>
  <si>
    <t>t</t>
  </si>
  <si>
    <t>t density</t>
  </si>
  <si>
    <t>Sampling Distributions of b and c</t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</si>
  <si>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273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</si>
  <si>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273</t>
    </r>
  </si>
  <si>
    <r>
      <t>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273</t>
    </r>
  </si>
  <si>
    <r>
      <t>n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273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</si>
  <si>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</si>
  <si>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b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</si>
  <si>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r>
      <t>b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</si>
  <si>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</si>
  <si>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</si>
  <si>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r>
      <t>c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</si>
  <si>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t xml:space="preserve">Just as </t>
  </si>
  <si>
    <t>is true in the sample,</t>
  </si>
  <si>
    <t>so</t>
  </si>
  <si>
    <t>is true in the population.</t>
  </si>
  <si>
    <t>Population regression equation:</t>
  </si>
  <si>
    <t>Problem at end</t>
  </si>
  <si>
    <t>Point Biserial Correlation</t>
  </si>
  <si>
    <t>Sex</t>
  </si>
  <si>
    <r>
      <t>b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3.1 - 2.225 = .875</t>
    </r>
  </si>
  <si>
    <r>
      <t>c</t>
    </r>
    <r>
      <rPr>
        <sz val="10"/>
        <rFont val="Arial"/>
        <family val="0"/>
      </rPr>
      <t xml:space="preserve">= </t>
    </r>
    <r>
      <rPr>
        <i/>
        <sz val="10"/>
        <rFont val="Arial"/>
        <family val="2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2.225</t>
    </r>
  </si>
  <si>
    <t>Point-biserial example JMP file</t>
  </si>
  <si>
    <t>Male</t>
  </si>
  <si>
    <t>Female</t>
  </si>
  <si>
    <t>Mean</t>
  </si>
  <si>
    <r>
      <t>Sampling Distributions of r and Z</t>
    </r>
    <r>
      <rPr>
        <b/>
        <i/>
        <vertAlign val="subscript"/>
        <sz val="10"/>
        <rFont val="Arial"/>
        <family val="2"/>
      </rPr>
      <t>r</t>
    </r>
  </si>
  <si>
    <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</si>
  <si>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</si>
  <si>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r>
      <t>r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</si>
  <si>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r>
      <t>Z</t>
    </r>
    <r>
      <rPr>
        <i/>
        <vertAlign val="subscript"/>
        <sz val="10"/>
        <rFont val="Arial"/>
        <family val="2"/>
      </rP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___</t>
    </r>
  </si>
  <si>
    <r>
      <t>Z</t>
    </r>
    <r>
      <rPr>
        <i/>
        <vertAlign val="subscript"/>
        <sz val="10"/>
        <rFont val="Arial"/>
        <family val="2"/>
      </rPr>
      <t>r</t>
    </r>
    <r>
      <rPr>
        <vertAlign val="subscript"/>
        <sz val="14"/>
        <rFont val="Arial"/>
        <family val="2"/>
      </rPr>
      <t>∞</t>
    </r>
    <r>
      <rPr>
        <sz val="10"/>
        <rFont val="Arial"/>
        <family val="0"/>
      </rPr>
      <t xml:space="preserve"> = ___</t>
    </r>
  </si>
  <si>
    <r>
      <t>Z</t>
    </r>
    <r>
      <rPr>
        <i/>
        <vertAlign val="subscript"/>
        <sz val="10"/>
        <rFont val="Arial"/>
        <family val="2"/>
      </rP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___</t>
    </r>
  </si>
  <si>
    <r>
      <t>Z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= tanh</t>
    </r>
    <r>
      <rPr>
        <i/>
        <vertAlign val="superscript"/>
        <sz val="10"/>
        <rFont val="Arial"/>
        <family val="2"/>
      </rPr>
      <t>-1</t>
    </r>
    <r>
      <rPr>
        <i/>
        <sz val="10"/>
        <rFont val="Arial"/>
        <family val="2"/>
      </rPr>
      <t>(r) = arctanh(r)</t>
    </r>
  </si>
  <si>
    <r>
      <t>r = tanh(Z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>)</t>
    </r>
  </si>
  <si>
    <r>
      <t>n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 28</t>
    </r>
  </si>
  <si>
    <r>
      <t>n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 28</t>
    </r>
  </si>
  <si>
    <r>
      <t>n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 28</t>
    </r>
  </si>
  <si>
    <r>
      <t>n</t>
    </r>
    <r>
      <rPr>
        <i/>
        <vertAlign val="subscript"/>
        <sz val="14"/>
        <rFont val="Arial"/>
        <family val="2"/>
      </rPr>
      <t>∞</t>
    </r>
    <r>
      <rPr>
        <i/>
        <sz val="10"/>
        <rFont val="Arial"/>
        <family val="2"/>
      </rPr>
      <t xml:space="preserve"> = 28</t>
    </r>
  </si>
  <si>
    <r>
      <t>r</t>
    </r>
    <r>
      <rPr>
        <sz val="10"/>
        <rFont val="Arial"/>
        <family val="0"/>
      </rPr>
      <t xml:space="preserve"> = 0 indicates no linear (straight line) relation between X and Y, </t>
    </r>
  </si>
  <si>
    <t xml:space="preserve">       i.e., knowing X doesn't improve your prediction of Y</t>
  </si>
  <si>
    <t>Least squares estimators:</t>
  </si>
  <si>
    <t xml:space="preserve"> = b</t>
  </si>
  <si>
    <t xml:space="preserve"> = c</t>
  </si>
  <si>
    <t>Y' =  0.68 + 0.096X</t>
  </si>
  <si>
    <t>so sample statistics r, b, and c are used to draw inferences about</t>
  </si>
  <si>
    <r>
      <t>Recall general form of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for a hypothesis test using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from a </t>
    </r>
    <r>
      <rPr>
        <sz val="10"/>
        <rFont val="Arial"/>
        <family val="0"/>
      </rPr>
      <t xml:space="preserve">single sample is 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</si>
  <si>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= k or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m = m</t>
    </r>
    <r>
      <rPr>
        <vertAlign val="subscript"/>
        <sz val="10"/>
        <rFont val="Arial"/>
        <family val="2"/>
      </rPr>
      <t>0</t>
    </r>
  </si>
  <si>
    <t>Example for thinking about difference between independent and dependent correlations:</t>
  </si>
  <si>
    <r>
      <t>Y</t>
    </r>
    <r>
      <rPr>
        <vertAlign val="superscript"/>
        <sz val="10"/>
        <rFont val="Arial"/>
        <family val="2"/>
      </rPr>
      <t>2</t>
    </r>
  </si>
  <si>
    <t>For people at the 90th %-ile on ACT, what's your best guess about their %-ile on GPA?</t>
  </si>
  <si>
    <r>
      <t xml:space="preserve">Just as the sample statistic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was used to draw inferences about population parameter </t>
    </r>
    <r>
      <rPr>
        <sz val="10"/>
        <rFont val="Symbol"/>
        <family val="1"/>
      </rPr>
      <t>m</t>
    </r>
    <r>
      <rPr>
        <sz val="10"/>
        <rFont val="SymbolPS"/>
        <family val="1"/>
      </rPr>
      <t>,</t>
    </r>
    <r>
      <rPr>
        <sz val="10"/>
        <rFont val="Arial"/>
        <family val="2"/>
      </rPr>
      <t xml:space="preserve"> </t>
    </r>
  </si>
  <si>
    <r>
      <t xml:space="preserve">population parameters, </t>
    </r>
    <r>
      <rPr>
        <sz val="10"/>
        <rFont val="Symbol"/>
        <family val="1"/>
      </rPr>
      <t>r, b,</t>
    </r>
    <r>
      <rPr>
        <sz val="10"/>
        <rFont val="Arial"/>
        <family val="0"/>
      </rPr>
      <t xml:space="preserve"> and </t>
    </r>
    <r>
      <rPr>
        <sz val="10"/>
        <rFont val="Symbol"/>
        <family val="1"/>
      </rPr>
      <t>g</t>
    </r>
    <r>
      <rPr>
        <sz val="10"/>
        <rFont val="Arial"/>
        <family val="0"/>
      </rPr>
      <t>.</t>
    </r>
  </si>
  <si>
    <r>
      <t xml:space="preserve">For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, the most common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is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: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= 0</t>
    </r>
  </si>
  <si>
    <r>
      <t>Table J (p. 641) Critical Values of r for H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: </t>
    </r>
    <r>
      <rPr>
        <b/>
        <i/>
        <sz val="10"/>
        <rFont val="Symbol"/>
        <family val="1"/>
      </rPr>
      <t xml:space="preserve">r </t>
    </r>
    <r>
      <rPr>
        <b/>
        <i/>
        <sz val="10"/>
        <rFont val="Arial"/>
        <family val="2"/>
      </rPr>
      <t>= 0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</si>
  <si>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.05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</si>
  <si>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.025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</si>
  <si>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.01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</si>
  <si>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.005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</si>
  <si>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.0005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</si>
  <si>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.10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</si>
  <si>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.05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</si>
  <si>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.02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</si>
  <si>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.01</t>
    </r>
  </si>
  <si>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.001</t>
    </r>
  </si>
  <si>
    <r>
      <t xml:space="preserve">For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, most common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is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: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= 0</t>
    </r>
  </si>
  <si>
    <r>
      <t>which is equivalent to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: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= 0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</si>
  <si>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SymbolPS"/>
        <family val="1"/>
      </rPr>
      <t xml:space="preserve">:  </t>
    </r>
    <r>
      <rPr>
        <sz val="10"/>
        <rFont val="Symbol"/>
        <family val="1"/>
      </rPr>
      <t>m</t>
    </r>
    <r>
      <rPr>
        <vertAlign val="subscript"/>
        <sz val="10"/>
        <rFont val="SymbolPS"/>
        <family val="1"/>
      </rPr>
      <t>1</t>
    </r>
    <r>
      <rPr>
        <sz val="10"/>
        <rFont val="SymbolPS"/>
        <family val="1"/>
      </rPr>
      <t xml:space="preserve"> = </t>
    </r>
    <r>
      <rPr>
        <sz val="10"/>
        <rFont val="Symbol"/>
        <family val="1"/>
      </rPr>
      <t>m</t>
    </r>
    <r>
      <rPr>
        <vertAlign val="subscript"/>
        <sz val="10"/>
        <rFont val="SymbolPS"/>
        <family val="1"/>
      </rPr>
      <t>2</t>
    </r>
    <r>
      <rPr>
        <sz val="10"/>
        <rFont val="SymbolPS"/>
        <family val="1"/>
      </rPr>
      <t xml:space="preserve"> </t>
    </r>
  </si>
  <si>
    <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:</t>
    </r>
    <r>
      <rPr>
        <sz val="10"/>
        <rFont val="SymbolPS"/>
        <family val="1"/>
      </rPr>
      <t xml:space="preserve">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= 0</t>
    </r>
  </si>
  <si>
    <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:</t>
    </r>
    <r>
      <rPr>
        <sz val="10"/>
        <rFont val="SymbolPS"/>
        <family val="1"/>
      </rPr>
      <t xml:space="preserve">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= 0</t>
    </r>
  </si>
  <si>
    <r>
      <rPr>
        <sz val="10"/>
        <rFont val="Symbol"/>
        <family val="1"/>
      </rPr>
      <t>b = m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 xml:space="preserve"> - m</t>
    </r>
    <r>
      <rPr>
        <vertAlign val="subscript"/>
        <sz val="10"/>
        <rFont val="Symbol"/>
        <family val="1"/>
      </rPr>
      <t>0</t>
    </r>
    <r>
      <rPr>
        <sz val="10"/>
        <rFont val="Symbol"/>
        <family val="1"/>
      </rPr>
      <t xml:space="preserve"> </t>
    </r>
  </si>
  <si>
    <r>
      <t>g = m</t>
    </r>
    <r>
      <rPr>
        <vertAlign val="subscript"/>
        <sz val="10"/>
        <rFont val="Symbol"/>
        <family val="1"/>
      </rPr>
      <t>0</t>
    </r>
    <r>
      <rPr>
        <sz val="10"/>
        <rFont val="Symbol"/>
        <family val="1"/>
      </rPr>
      <t xml:space="preserve"> </t>
    </r>
  </si>
  <si>
    <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:</t>
    </r>
    <r>
      <rPr>
        <sz val="10"/>
        <rFont val="SymbolPS"/>
        <family val="1"/>
      </rPr>
      <t xml:space="preserve"> </t>
    </r>
    <r>
      <rPr>
        <sz val="10"/>
        <rFont val="Symbol"/>
        <family val="1"/>
      </rPr>
      <t>b = m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 xml:space="preserve"> - m</t>
    </r>
    <r>
      <rPr>
        <vertAlign val="subscript"/>
        <sz val="10"/>
        <rFont val="Symbol"/>
        <family val="1"/>
      </rPr>
      <t>0</t>
    </r>
    <r>
      <rPr>
        <sz val="10"/>
        <rFont val="Arial"/>
        <family val="0"/>
      </rPr>
      <t xml:space="preserve"> = 0</t>
    </r>
  </si>
  <si>
    <r>
      <rPr>
        <sz val="10"/>
        <rFont val="Symbol"/>
        <family val="1"/>
      </rPr>
      <t>s</t>
    </r>
    <r>
      <rPr>
        <vertAlign val="subscript"/>
        <sz val="10"/>
        <rFont val="SymbolPS"/>
        <family val="1"/>
      </rPr>
      <t>M</t>
    </r>
    <r>
      <rPr>
        <sz val="10"/>
        <rFont val="SymbolPS"/>
        <family val="1"/>
      </rPr>
      <t xml:space="preserve"> =</t>
    </r>
  </si>
  <si>
    <r>
      <t xml:space="preserve">Find a 95% CI for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when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= .80,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28</t>
    </r>
  </si>
  <si>
    <r>
      <t>Testing H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: </t>
    </r>
    <r>
      <rPr>
        <b/>
        <i/>
        <sz val="10"/>
        <rFont val="Symbol"/>
        <family val="1"/>
      </rPr>
      <t xml:space="preserve">r </t>
    </r>
    <r>
      <rPr>
        <b/>
        <i/>
        <sz val="10"/>
        <rFont val="Arial"/>
        <family val="2"/>
      </rPr>
      <t>= k</t>
    </r>
  </si>
  <si>
    <r>
      <t>Testing H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: </t>
    </r>
    <r>
      <rPr>
        <b/>
        <i/>
        <sz val="10"/>
        <rFont val="Symbol"/>
        <family val="1"/>
      </rPr>
      <t>r</t>
    </r>
    <r>
      <rPr>
        <b/>
        <i/>
        <vertAlign val="subscript"/>
        <sz val="10"/>
        <rFont val="Symbol"/>
        <family val="1"/>
      </rPr>
      <t>1</t>
    </r>
    <r>
      <rPr>
        <b/>
        <i/>
        <sz val="10"/>
        <rFont val="Symbol"/>
        <family val="1"/>
      </rPr>
      <t xml:space="preserve"> =  r</t>
    </r>
    <r>
      <rPr>
        <b/>
        <i/>
        <vertAlign val="subscript"/>
        <sz val="10"/>
        <rFont val="Symbol"/>
        <family val="1"/>
      </rPr>
      <t xml:space="preserve">2 </t>
    </r>
    <r>
      <rPr>
        <b/>
        <i/>
        <sz val="10"/>
        <rFont val="Arial"/>
        <family val="2"/>
      </rPr>
      <t xml:space="preserve">for </t>
    </r>
    <r>
      <rPr>
        <b/>
        <i/>
        <u val="single"/>
        <sz val="10"/>
        <rFont val="Arial"/>
        <family val="2"/>
      </rPr>
      <t>independent</t>
    </r>
    <r>
      <rPr>
        <b/>
        <i/>
        <sz val="10"/>
        <rFont val="Arial"/>
        <family val="2"/>
      </rPr>
      <t xml:space="preserve"> correlations</t>
    </r>
  </si>
  <si>
    <r>
      <t xml:space="preserve"> H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: </t>
    </r>
    <r>
      <rPr>
        <i/>
        <sz val="10"/>
        <rFont val="Symbol"/>
        <family val="1"/>
      </rPr>
      <t>r</t>
    </r>
    <r>
      <rPr>
        <i/>
        <vertAlign val="subscript"/>
        <sz val="10"/>
        <rFont val="Arial"/>
        <family val="2"/>
      </rPr>
      <t>ACT,GPA</t>
    </r>
    <r>
      <rPr>
        <i/>
        <sz val="10"/>
        <rFont val="Arial"/>
        <family val="2"/>
      </rPr>
      <t xml:space="preserve"> =  </t>
    </r>
    <r>
      <rPr>
        <i/>
        <sz val="10"/>
        <rFont val="Symbol"/>
        <family val="1"/>
      </rPr>
      <t>r</t>
    </r>
    <r>
      <rPr>
        <i/>
        <vertAlign val="subscript"/>
        <sz val="10"/>
        <rFont val="Arial"/>
        <family val="2"/>
      </rPr>
      <t xml:space="preserve">SAT,GPA </t>
    </r>
  </si>
  <si>
    <t>s1</t>
  </si>
  <si>
    <t>s2</t>
  </si>
  <si>
    <t>s3</t>
  </si>
  <si>
    <t>s4</t>
  </si>
  <si>
    <t>s5</t>
  </si>
  <si>
    <t>s6</t>
  </si>
  <si>
    <t>s7</t>
  </si>
  <si>
    <t>Pearson product-moment correlation coefficient</t>
  </si>
  <si>
    <t>r =</t>
  </si>
  <si>
    <t>LinRegTTest</t>
  </si>
  <si>
    <t>b = 1/1 = 2/2 = 4/4</t>
  </si>
  <si>
    <t>b = -.5/1 = -1/2 = -2/4</t>
  </si>
  <si>
    <t>b = 2/1 = 4/2</t>
  </si>
  <si>
    <t>b = 0/1 = 0/4</t>
  </si>
  <si>
    <t xml:space="preserve"> = SSE</t>
  </si>
  <si>
    <t>Law of filial regression</t>
  </si>
  <si>
    <t>Good</t>
  </si>
  <si>
    <t>Poor</t>
  </si>
  <si>
    <t>Pre</t>
  </si>
  <si>
    <t>Post</t>
  </si>
  <si>
    <t>Exp</t>
  </si>
  <si>
    <t>Cntl</t>
  </si>
  <si>
    <t>Proportion of variance in Y that's predictable from X or is accounted for by X</t>
  </si>
  <si>
    <t>Y' =</t>
  </si>
  <si>
    <r>
      <t>s</t>
    </r>
    <r>
      <rPr>
        <vertAlign val="subscript"/>
        <sz val="10"/>
        <rFont val="Arial"/>
        <family val="2"/>
      </rPr>
      <t>Y.X</t>
    </r>
    <r>
      <rPr>
        <sz val="10"/>
        <rFont val="Arial"/>
        <family val="0"/>
      </rPr>
      <t xml:space="preserve"> =</t>
    </r>
  </si>
  <si>
    <t>normalcdf(2,10^99,1.832,.64) = .3965</t>
  </si>
  <si>
    <t>invNorm(.90,20,5) = 26.41</t>
  </si>
  <si>
    <t>normalcdf(-10^99,3.215,2.6,.8) = .7790</t>
  </si>
  <si>
    <t>(1.83,4.33) = 95% CI for GPA of a person with ACT = 25</t>
  </si>
  <si>
    <t>Ht(in)</t>
  </si>
  <si>
    <t>Wt(lb)</t>
  </si>
  <si>
    <t>r = .6</t>
  </si>
  <si>
    <t>Ht(cm)</t>
  </si>
  <si>
    <t>Wt(kg)</t>
  </si>
  <si>
    <t>zHt</t>
  </si>
  <si>
    <t>zWt</t>
  </si>
  <si>
    <t>Attenuation due to restricted variability</t>
  </si>
  <si>
    <t>Attenuation due to measurement error</t>
  </si>
  <si>
    <t>Correction for attenuation</t>
  </si>
  <si>
    <t>Test score</t>
  </si>
  <si>
    <t>Job perf</t>
  </si>
  <si>
    <t>predictive validity</t>
  </si>
  <si>
    <t>tcdf(1.57243,10^99,25)*2 = .1284</t>
  </si>
  <si>
    <t>Since p &gt; .05 we can't reject the null hypothesis</t>
  </si>
  <si>
    <t>Conclude: Not enough evidence to think the test has validity</t>
  </si>
  <si>
    <t>The correlation between test score and job performance was not</t>
  </si>
  <si>
    <t>significantly different from zero.</t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</si>
  <si>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1.94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</si>
  <si>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54.1</t>
    </r>
  </si>
  <si>
    <t>t(271) =</t>
  </si>
  <si>
    <t>normalcdf(-10^99,195,208.9467,24.84109) = .2872</t>
  </si>
  <si>
    <r>
      <t>r</t>
    </r>
    <r>
      <rPr>
        <vertAlign val="subscript"/>
        <sz val="10"/>
        <rFont val="Arial"/>
        <family val="2"/>
      </rPr>
      <t>pb</t>
    </r>
  </si>
  <si>
    <t>Dummy variable or indicator variable</t>
  </si>
  <si>
    <t>Sex2</t>
  </si>
  <si>
    <t>Sex3</t>
  </si>
  <si>
    <t>t(7) =</t>
  </si>
  <si>
    <t xml:space="preserve">tcdf(1.94545,10^99,7)*2 = </t>
  </si>
  <si>
    <t>Fisher's Zr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</si>
  <si>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.50</t>
    </r>
  </si>
  <si>
    <r>
      <t>Z</t>
    </r>
    <r>
      <rPr>
        <i/>
        <vertAlign val="subscript"/>
        <sz val="10"/>
        <rFont val="Arial"/>
        <family val="2"/>
      </rP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.5493</t>
    </r>
  </si>
  <si>
    <t>r</t>
  </si>
  <si>
    <t>Zr</t>
  </si>
  <si>
    <t>(.609,.904) = 95% CI for rho</t>
  </si>
  <si>
    <t>SAT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</si>
  <si>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</si>
  <si>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</si>
  <si>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</si>
  <si>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</si>
  <si>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</si>
  <si>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</si>
  <si>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</si>
  <si>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</si>
  <si>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</si>
  <si>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Males</t>
  </si>
  <si>
    <t>Females</t>
  </si>
  <si>
    <t xml:space="preserve">z = </t>
  </si>
  <si>
    <t>p</t>
  </si>
  <si>
    <t>normalcdf(.97894,10^99)*2 = .3276</t>
  </si>
  <si>
    <r>
      <t>H</t>
    </r>
    <r>
      <rPr>
        <vertAlign val="subscript"/>
        <sz val="10"/>
        <rFont val="Symbol"/>
        <family val="1"/>
      </rPr>
      <t>0</t>
    </r>
    <r>
      <rPr>
        <sz val="10"/>
        <rFont val="Symbol"/>
        <family val="1"/>
      </rPr>
      <t>: r</t>
    </r>
    <r>
      <rPr>
        <vertAlign val="subscript"/>
        <sz val="10"/>
        <rFont val="Arial"/>
        <family val="2"/>
      </rPr>
      <t>M</t>
    </r>
    <r>
      <rPr>
        <sz val="10"/>
        <rFont val="Symbol"/>
        <family val="1"/>
      </rPr>
      <t xml:space="preserve"> =  r</t>
    </r>
    <r>
      <rPr>
        <vertAlign val="subscript"/>
        <sz val="10"/>
        <rFont val="Arial"/>
        <family val="2"/>
      </rPr>
      <t>F</t>
    </r>
  </si>
  <si>
    <t>Conclude: Not enough evidence to think the test validity differs</t>
  </si>
  <si>
    <t>between males and females</t>
  </si>
  <si>
    <t>The test validities didn't differ significantly between</t>
  </si>
  <si>
    <t>males and females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</si>
</sst>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0000"/>
    <numFmt numFmtId="166" formatCode="0.00000"/>
    <numFmt numFmtId="167" formatCode="0.000"/>
    <numFmt numFmtId="168" formatCode="0.0000"/>
    <numFmt numFmtId="169" formatCode="0.000000"/>
  </numFmts>
  <fonts count="8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PS"/>
      <family val="1"/>
    </font>
    <font>
      <b/>
      <i/>
      <vertAlign val="subscript"/>
      <sz val="10"/>
      <name val="Arial"/>
      <family val="2"/>
    </font>
    <font>
      <vertAlign val="subscript"/>
      <sz val="10"/>
      <name val="SymbolPS"/>
      <family val="1"/>
    </font>
    <font>
      <sz val="6"/>
      <name val="Webdings"/>
      <family val="1"/>
    </font>
    <font>
      <vertAlign val="subscript"/>
      <sz val="14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4"/>
      <name val="Arial"/>
      <family val="2"/>
    </font>
    <font>
      <b/>
      <i/>
      <u val="single"/>
      <sz val="10"/>
      <name val="Arial"/>
      <family val="2"/>
    </font>
    <font>
      <sz val="10"/>
      <name val="Symbol"/>
      <family val="1"/>
    </font>
    <font>
      <b/>
      <i/>
      <sz val="10"/>
      <name val="Symbol"/>
      <family val="1"/>
    </font>
    <font>
      <vertAlign val="subscript"/>
      <sz val="10"/>
      <name val="Symbol"/>
      <family val="1"/>
    </font>
    <font>
      <b/>
      <i/>
      <vertAlign val="subscript"/>
      <sz val="10"/>
      <name val="Symbol"/>
      <family val="1"/>
    </font>
    <font>
      <i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i/>
      <sz val="9.75"/>
      <color indexed="8"/>
      <name val="CG Times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16"/>
      <color indexed="8"/>
      <name val="Times New Roman"/>
      <family val="0"/>
    </font>
    <font>
      <i/>
      <vertAlign val="subscript"/>
      <sz val="16"/>
      <color indexed="8"/>
      <name val="Symbol"/>
      <family val="0"/>
    </font>
    <font>
      <i/>
      <sz val="10"/>
      <color indexed="8"/>
      <name val="Times New Roman"/>
      <family val="0"/>
    </font>
    <font>
      <i/>
      <sz val="16"/>
      <color indexed="8"/>
      <name val="Symbol"/>
      <family val="0"/>
    </font>
    <font>
      <i/>
      <sz val="14"/>
      <color indexed="8"/>
      <name val="Times New Roman"/>
      <family val="0"/>
    </font>
    <font>
      <vertAlign val="subscript"/>
      <sz val="14"/>
      <color indexed="8"/>
      <name val="Times New Roman"/>
      <family val="0"/>
    </font>
    <font>
      <i/>
      <vertAlign val="subscript"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i/>
      <sz val="12"/>
      <color indexed="8"/>
      <name val="Symbol"/>
      <family val="0"/>
    </font>
    <font>
      <i/>
      <vertAlign val="subscript"/>
      <sz val="12"/>
      <color indexed="8"/>
      <name val="Times New Roman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SymbolPS"/>
      <family val="0"/>
    </font>
    <font>
      <sz val="10"/>
      <color indexed="8"/>
      <name val="Symbol"/>
      <family val="0"/>
    </font>
    <font>
      <vertAlign val="subscript"/>
      <sz val="10"/>
      <color indexed="8"/>
      <name val="Arial"/>
      <family val="0"/>
    </font>
    <font>
      <b/>
      <i/>
      <vertAlign val="subscript"/>
      <sz val="10"/>
      <color indexed="8"/>
      <name val="Arial"/>
      <family val="0"/>
    </font>
    <font>
      <b/>
      <i/>
      <sz val="12"/>
      <color indexed="8"/>
      <name val="Times New Roman"/>
      <family val="0"/>
    </font>
    <font>
      <b/>
      <i/>
      <sz val="12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22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65"/>
          <c:w val="0.899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'Correlation Intro'!$AV$106:$BB$106</c:f>
              <c:numCache/>
            </c:numRef>
          </c:xVal>
          <c:yVal>
            <c:numRef>
              <c:f>'Correlation Intro'!$AV$107:$BB$107</c:f>
              <c:numCache/>
            </c:numRef>
          </c:yVal>
          <c:smooth val="0"/>
        </c:ser>
        <c:axId val="1550507"/>
        <c:axId val="13954564"/>
      </c:scatterChart>
      <c:valAx>
        <c:axId val="155050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 val="autoZero"/>
        <c:crossBetween val="midCat"/>
        <c:dispUnits/>
        <c:majorUnit val="1"/>
      </c:valAx>
      <c:valAx>
        <c:axId val="13954564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507"/>
        <c:crossesAt val="-3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625"/>
          <c:w val="0.8867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'Correlation Intro'!$T$128:$T$135</c:f>
              <c:numCache/>
            </c:numRef>
          </c:xVal>
          <c:yVal>
            <c:numRef>
              <c:f>'Correlation Intro'!$U$128:$U$135</c:f>
              <c:numCache/>
            </c:numRef>
          </c:yVal>
          <c:smooth val="0"/>
        </c:ser>
        <c:axId val="58482213"/>
        <c:axId val="56577870"/>
      </c:scatterChart>
      <c:valAx>
        <c:axId val="5848221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7870"/>
        <c:crosses val="autoZero"/>
        <c:crossBetween val="midCat"/>
        <c:dispUnits/>
        <c:majorUnit val="1"/>
      </c:valAx>
      <c:valAx>
        <c:axId val="5657787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2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45"/>
          <c:w val="0.8852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Intro'!$C$171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'Correlation Intro'!$B$172:$B$176</c:f>
              <c:numCache/>
            </c:numRef>
          </c:xVal>
          <c:yVal>
            <c:numRef>
              <c:f>'Correlation Intro'!$C$172:$C$176</c:f>
              <c:numCache/>
            </c:numRef>
          </c:yVal>
          <c:smooth val="0"/>
        </c:ser>
        <c:axId val="39438783"/>
        <c:axId val="19404728"/>
      </c:scatterChart>
      <c:valAx>
        <c:axId val="394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 val="autoZero"/>
        <c:crossBetween val="midCat"/>
        <c:dispUnits/>
      </c:valAx>
      <c:valAx>
        <c:axId val="1940472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6975"/>
          <c:w val="0.8755"/>
          <c:h val="0.7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Intro'!$C$4</c:f>
              <c:strCache>
                <c:ptCount val="1"/>
                <c:pt idx="0">
                  <c:v>Weight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'Correlation Intro'!$B$5:$B$11</c:f>
              <c:numCache/>
            </c:numRef>
          </c:xVal>
          <c:yVal>
            <c:numRef>
              <c:f>'Correlation Intro'!$C$5:$C$11</c:f>
              <c:numCache/>
            </c:numRef>
          </c:yVal>
          <c:smooth val="0"/>
        </c:ser>
        <c:axId val="40424825"/>
        <c:axId val="28279106"/>
      </c:scatterChart>
      <c:valAx>
        <c:axId val="40424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9106"/>
        <c:crosses val="autoZero"/>
        <c:crossBetween val="midCat"/>
        <c:dispUnits/>
      </c:valAx>
      <c:valAx>
        <c:axId val="2827910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4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's</a:t>
            </a:r>
          </a:p>
        </c:rich>
      </c:tx>
      <c:layout>
        <c:manualLayout>
          <c:xMode val="factor"/>
          <c:yMode val="factor"/>
          <c:x val="0.00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4625"/>
          <c:w val="0.897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'JMP Regression Example'!$A$217:$A$317</c:f>
              <c:numCache/>
            </c:numRef>
          </c:xVal>
          <c:yVal>
            <c:numRef>
              <c:f>'JMP Regression Example'!$B$217:$B$317</c:f>
              <c:numCache/>
            </c:numRef>
          </c:yVal>
          <c:smooth val="0"/>
        </c:ser>
        <c:axId val="53185363"/>
        <c:axId val="8906220"/>
      </c:scatterChart>
      <c:valAx>
        <c:axId val="53185363"/>
        <c:scaling>
          <c:orientation val="minMax"/>
          <c:max val="14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0.006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8906220"/>
        <c:crosses val="autoZero"/>
        <c:crossBetween val="midCat"/>
        <c:dispUnits/>
        <c:majorUnit val="15"/>
        <c:minorUnit val="5"/>
      </c:valAx>
      <c:valAx>
        <c:axId val="8906220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36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Sampling Distribution of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's</a:t>
            </a:r>
          </a:p>
        </c:rich>
      </c:tx>
      <c:layout>
        <c:manualLayout>
          <c:xMode val="factor"/>
          <c:yMode val="factor"/>
          <c:x val="0.006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575"/>
          <c:w val="0.897"/>
          <c:h val="0.72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'JMP Regression Example'!$A$217:$A$317</c:f>
              <c:numCache/>
            </c:numRef>
          </c:xVal>
          <c:yVal>
            <c:numRef>
              <c:f>'JMP Regression Example'!$B$217:$B$317</c:f>
              <c:numCache/>
            </c:numRef>
          </c:yVal>
          <c:smooth val="0"/>
        </c:ser>
        <c:axId val="13047117"/>
        <c:axId val="50315190"/>
      </c:scatterChart>
      <c:valAx>
        <c:axId val="13047117"/>
        <c:scaling>
          <c:orientation val="minMax"/>
          <c:max val="14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7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315190"/>
        <c:crosses val="autoZero"/>
        <c:crossBetween val="midCat"/>
        <c:dispUnits/>
        <c:majorUnit val="15"/>
        <c:minorUnit val="5"/>
      </c:valAx>
      <c:valAx>
        <c:axId val="50315190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25"/>
          <c:w val="0.909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'JMP Regression Example'!$C$163:$C$171</c:f>
              <c:numCache/>
            </c:numRef>
          </c:xVal>
          <c:yVal>
            <c:numRef>
              <c:f>'JMP Regression Example'!$B$163:$B$171</c:f>
              <c:numCache/>
            </c:numRef>
          </c:yVal>
          <c:smooth val="0"/>
        </c:ser>
        <c:axId val="50183527"/>
        <c:axId val="48998560"/>
      </c:scatterChart>
      <c:val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Group Dummy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 val="autoZero"/>
        <c:crossBetween val="midCat"/>
        <c:dispUnits/>
      </c:valAx>
      <c:valAx>
        <c:axId val="4899856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Relationship Id="rId2" Type="http://schemas.openxmlformats.org/officeDocument/2006/relationships/image" Target="../media/image5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66.wmf" /><Relationship Id="rId4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41.emf" /><Relationship Id="rId3" Type="http://schemas.openxmlformats.org/officeDocument/2006/relationships/image" Target="../media/image6.emf" /><Relationship Id="rId4" Type="http://schemas.openxmlformats.org/officeDocument/2006/relationships/image" Target="../media/image38.emf" /><Relationship Id="rId5" Type="http://schemas.openxmlformats.org/officeDocument/2006/relationships/image" Target="../media/image37.emf" /><Relationship Id="rId6" Type="http://schemas.openxmlformats.org/officeDocument/2006/relationships/image" Target="../media/image43.emf" /><Relationship Id="rId7" Type="http://schemas.openxmlformats.org/officeDocument/2006/relationships/image" Target="../media/image44.emf" /><Relationship Id="rId8" Type="http://schemas.openxmlformats.org/officeDocument/2006/relationships/image" Target="../media/image45.emf" /><Relationship Id="rId9" Type="http://schemas.openxmlformats.org/officeDocument/2006/relationships/image" Target="../media/image7.emf" /><Relationship Id="rId10" Type="http://schemas.openxmlformats.org/officeDocument/2006/relationships/image" Target="../media/image39.emf" /><Relationship Id="rId11" Type="http://schemas.openxmlformats.org/officeDocument/2006/relationships/image" Target="../media/image40.emf" /><Relationship Id="rId12" Type="http://schemas.openxmlformats.org/officeDocument/2006/relationships/image" Target="../media/image39.emf" /><Relationship Id="rId13" Type="http://schemas.openxmlformats.org/officeDocument/2006/relationships/image" Target="../media/image38.emf" /><Relationship Id="rId14" Type="http://schemas.openxmlformats.org/officeDocument/2006/relationships/image" Target="../media/image77.emf" /><Relationship Id="rId15" Type="http://schemas.openxmlformats.org/officeDocument/2006/relationships/image" Target="../media/image52.emf" /><Relationship Id="rId16" Type="http://schemas.openxmlformats.org/officeDocument/2006/relationships/image" Target="../media/image53.emf" /><Relationship Id="rId17" Type="http://schemas.openxmlformats.org/officeDocument/2006/relationships/image" Target="../media/image54.emf" /><Relationship Id="rId18" Type="http://schemas.openxmlformats.org/officeDocument/2006/relationships/image" Target="../media/image3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Relationship Id="rId4" Type="http://schemas.openxmlformats.org/officeDocument/2006/relationships/image" Target="../media/image49.emf" /><Relationship Id="rId5" Type="http://schemas.openxmlformats.org/officeDocument/2006/relationships/image" Target="../media/image48.emf" /><Relationship Id="rId6" Type="http://schemas.openxmlformats.org/officeDocument/2006/relationships/image" Target="../media/image48.emf" /><Relationship Id="rId7" Type="http://schemas.openxmlformats.org/officeDocument/2006/relationships/image" Target="../media/image4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56.emf" /><Relationship Id="rId3" Type="http://schemas.openxmlformats.org/officeDocument/2006/relationships/image" Target="../media/image57.emf" /><Relationship Id="rId4" Type="http://schemas.openxmlformats.org/officeDocument/2006/relationships/image" Target="../media/image58.emf" /><Relationship Id="rId5" Type="http://schemas.openxmlformats.org/officeDocument/2006/relationships/image" Target="../media/image59.emf" /><Relationship Id="rId6" Type="http://schemas.openxmlformats.org/officeDocument/2006/relationships/image" Target="../media/image60.emf" /><Relationship Id="rId7" Type="http://schemas.openxmlformats.org/officeDocument/2006/relationships/image" Target="../media/image63.emf" /><Relationship Id="rId8" Type="http://schemas.openxmlformats.org/officeDocument/2006/relationships/image" Target="../media/image7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2.emf" /><Relationship Id="rId2" Type="http://schemas.openxmlformats.org/officeDocument/2006/relationships/image" Target="../media/image36.emf" /><Relationship Id="rId3" Type="http://schemas.openxmlformats.org/officeDocument/2006/relationships/image" Target="../media/image26.emf" /><Relationship Id="rId4" Type="http://schemas.openxmlformats.org/officeDocument/2006/relationships/image" Target="../media/image65.emf" /><Relationship Id="rId5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Relationship Id="rId2" Type="http://schemas.openxmlformats.org/officeDocument/2006/relationships/image" Target="../media/image40.emf" /><Relationship Id="rId3" Type="http://schemas.openxmlformats.org/officeDocument/2006/relationships/image" Target="../media/image67.emf" /><Relationship Id="rId4" Type="http://schemas.openxmlformats.org/officeDocument/2006/relationships/image" Target="../media/image62.emf" /><Relationship Id="rId5" Type="http://schemas.openxmlformats.org/officeDocument/2006/relationships/image" Target="../media/image65.emf" /><Relationship Id="rId6" Type="http://schemas.openxmlformats.org/officeDocument/2006/relationships/image" Target="../media/image69.emf" /><Relationship Id="rId7" Type="http://schemas.openxmlformats.org/officeDocument/2006/relationships/image" Target="../media/image70.emf" /><Relationship Id="rId8" Type="http://schemas.openxmlformats.org/officeDocument/2006/relationships/image" Target="../media/image71.emf" /><Relationship Id="rId9" Type="http://schemas.openxmlformats.org/officeDocument/2006/relationships/image" Target="../media/image72.emf" /><Relationship Id="rId10" Type="http://schemas.openxmlformats.org/officeDocument/2006/relationships/image" Target="../media/image73.emf" /><Relationship Id="rId11" Type="http://schemas.openxmlformats.org/officeDocument/2006/relationships/image" Target="../media/image74.emf" /><Relationship Id="rId12" Type="http://schemas.openxmlformats.org/officeDocument/2006/relationships/image" Target="../media/image6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38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7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2.emf" /><Relationship Id="rId51" Type="http://schemas.openxmlformats.org/officeDocument/2006/relationships/image" Target="../media/image53.emf" /><Relationship Id="rId52" Type="http://schemas.openxmlformats.org/officeDocument/2006/relationships/image" Target="../media/image54.emf" /><Relationship Id="rId53" Type="http://schemas.openxmlformats.org/officeDocument/2006/relationships/image" Target="../media/image55.emf" /><Relationship Id="rId54" Type="http://schemas.openxmlformats.org/officeDocument/2006/relationships/image" Target="../media/image56.emf" /><Relationship Id="rId55" Type="http://schemas.openxmlformats.org/officeDocument/2006/relationships/image" Target="../media/image57.emf" /><Relationship Id="rId56" Type="http://schemas.openxmlformats.org/officeDocument/2006/relationships/image" Target="../media/image58.emf" /><Relationship Id="rId57" Type="http://schemas.openxmlformats.org/officeDocument/2006/relationships/image" Target="../media/image59.emf" /><Relationship Id="rId58" Type="http://schemas.openxmlformats.org/officeDocument/2006/relationships/image" Target="../media/image60.emf" /><Relationship Id="rId59" Type="http://schemas.openxmlformats.org/officeDocument/2006/relationships/image" Target="../media/image61.emf" /><Relationship Id="rId60" Type="http://schemas.openxmlformats.org/officeDocument/2006/relationships/image" Target="../media/image62.emf" /><Relationship Id="rId61" Type="http://schemas.openxmlformats.org/officeDocument/2006/relationships/image" Target="../media/image67.emf" /><Relationship Id="rId62" Type="http://schemas.openxmlformats.org/officeDocument/2006/relationships/image" Target="../media/image68.emf" /><Relationship Id="rId63" Type="http://schemas.openxmlformats.org/officeDocument/2006/relationships/image" Target="../media/image69.emf" /><Relationship Id="rId64" Type="http://schemas.openxmlformats.org/officeDocument/2006/relationships/image" Target="../media/image70.emf" /><Relationship Id="rId65" Type="http://schemas.openxmlformats.org/officeDocument/2006/relationships/image" Target="../media/image71.emf" /><Relationship Id="rId66" Type="http://schemas.openxmlformats.org/officeDocument/2006/relationships/image" Target="../media/image72.emf" /><Relationship Id="rId67" Type="http://schemas.openxmlformats.org/officeDocument/2006/relationships/image" Target="../media/image73.emf" /><Relationship Id="rId68" Type="http://schemas.openxmlformats.org/officeDocument/2006/relationships/image" Target="../media/image75.emf" /><Relationship Id="rId69" Type="http://schemas.openxmlformats.org/officeDocument/2006/relationships/image" Target="../media/image77.emf" /><Relationship Id="rId70" Type="http://schemas.openxmlformats.org/officeDocument/2006/relationships/image" Target="../media/image7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0.2135</cdr:y>
    </cdr:from>
    <cdr:to>
      <cdr:x>0.01725</cdr:x>
      <cdr:y>0.22775</cdr:y>
    </cdr:to>
    <cdr:sp>
      <cdr:nvSpPr>
        <cdr:cNvPr id="1" name="AutoShape 1"/>
        <cdr:cNvSpPr>
          <a:spLocks/>
        </cdr:cNvSpPr>
      </cdr:nvSpPr>
      <cdr:spPr>
        <a:xfrm>
          <a:off x="0" y="781050"/>
          <a:ext cx="66675" cy="571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0.166</cdr:y>
    </cdr:from>
    <cdr:to>
      <cdr:x>0.017</cdr:x>
      <cdr:y>0.17925</cdr:y>
    </cdr:to>
    <cdr:sp>
      <cdr:nvSpPr>
        <cdr:cNvPr id="2" name="AutoShape 6"/>
        <cdr:cNvSpPr>
          <a:spLocks/>
        </cdr:cNvSpPr>
      </cdr:nvSpPr>
      <cdr:spPr>
        <a:xfrm>
          <a:off x="0" y="609600"/>
          <a:ext cx="66675" cy="4762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0.06</cdr:y>
    </cdr:from>
    <cdr:to>
      <cdr:x>0.01475</cdr:x>
      <cdr:y>0.07325</cdr:y>
    </cdr:to>
    <cdr:sp>
      <cdr:nvSpPr>
        <cdr:cNvPr id="3" name="AutoShape 7"/>
        <cdr:cNvSpPr>
          <a:spLocks/>
        </cdr:cNvSpPr>
      </cdr:nvSpPr>
      <cdr:spPr>
        <a:xfrm>
          <a:off x="0" y="219075"/>
          <a:ext cx="57150" cy="4762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0.26025</cdr:y>
    </cdr:from>
    <cdr:to>
      <cdr:x>0.0145</cdr:x>
      <cdr:y>0.2745</cdr:y>
    </cdr:to>
    <cdr:sp>
      <cdr:nvSpPr>
        <cdr:cNvPr id="4" name="AutoShape 8"/>
        <cdr:cNvSpPr>
          <a:spLocks/>
        </cdr:cNvSpPr>
      </cdr:nvSpPr>
      <cdr:spPr>
        <a:xfrm flipH="1">
          <a:off x="0" y="952500"/>
          <a:ext cx="57150" cy="571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0.11075</cdr:y>
    </cdr:from>
    <cdr:to>
      <cdr:x>0.017</cdr:x>
      <cdr:y>0.12325</cdr:y>
    </cdr:to>
    <cdr:sp>
      <cdr:nvSpPr>
        <cdr:cNvPr id="5" name="AutoShape 9"/>
        <cdr:cNvSpPr>
          <a:spLocks/>
        </cdr:cNvSpPr>
      </cdr:nvSpPr>
      <cdr:spPr>
        <a:xfrm>
          <a:off x="0" y="400050"/>
          <a:ext cx="66675" cy="4762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0.307</cdr:y>
    </cdr:from>
    <cdr:to>
      <cdr:x>0.017</cdr:x>
      <cdr:y>0.32025</cdr:y>
    </cdr:to>
    <cdr:sp>
      <cdr:nvSpPr>
        <cdr:cNvPr id="6" name="AutoShape 12"/>
        <cdr:cNvSpPr>
          <a:spLocks/>
        </cdr:cNvSpPr>
      </cdr:nvSpPr>
      <cdr:spPr>
        <a:xfrm>
          <a:off x="0" y="1133475"/>
          <a:ext cx="66675" cy="4762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0.0145</cdr:x>
      <cdr:y>0.01875</cdr:y>
    </cdr:to>
    <cdr:sp>
      <cdr:nvSpPr>
        <cdr:cNvPr id="7" name="AutoShape 16"/>
        <cdr:cNvSpPr>
          <a:spLocks/>
        </cdr:cNvSpPr>
      </cdr:nvSpPr>
      <cdr:spPr>
        <a:xfrm>
          <a:off x="0" y="0"/>
          <a:ext cx="57150" cy="76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0.0125</cdr:y>
    </cdr:from>
    <cdr:to>
      <cdr:x>0.72475</cdr:x>
      <cdr:y>0.47225</cdr:y>
    </cdr:to>
    <cdr:sp>
      <cdr:nvSpPr>
        <cdr:cNvPr id="8" name="Straight Connector 2"/>
        <cdr:cNvSpPr>
          <a:spLocks/>
        </cdr:cNvSpPr>
      </cdr:nvSpPr>
      <cdr:spPr>
        <a:xfrm flipV="1">
          <a:off x="495300" y="38100"/>
          <a:ext cx="2400300" cy="1695450"/>
        </a:xfrm>
        <a:prstGeom prst="line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0.12525</cdr:x>
      <cdr:y>0.3705</cdr:y>
    </cdr:from>
    <cdr:to>
      <cdr:x>1</cdr:x>
      <cdr:y>0.701</cdr:y>
    </cdr:to>
    <cdr:sp>
      <cdr:nvSpPr>
        <cdr:cNvPr id="9" name="Straight Connector 4"/>
        <cdr:cNvSpPr>
          <a:spLocks/>
        </cdr:cNvSpPr>
      </cdr:nvSpPr>
      <cdr:spPr>
        <a:xfrm>
          <a:off x="495300" y="1362075"/>
          <a:ext cx="353377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0.00175</cdr:y>
    </cdr:from>
    <cdr:to>
      <cdr:x>0.61225</cdr:x>
      <cdr:y>0.78125</cdr:y>
    </cdr:to>
    <cdr:sp>
      <cdr:nvSpPr>
        <cdr:cNvPr id="10" name="Straight Connector 6"/>
        <cdr:cNvSpPr>
          <a:spLocks/>
        </cdr:cNvSpPr>
      </cdr:nvSpPr>
      <cdr:spPr>
        <a:xfrm flipV="1">
          <a:off x="485775" y="0"/>
          <a:ext cx="1962150" cy="2876550"/>
        </a:xfrm>
        <a:prstGeom prst="line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0.31375</cdr:y>
    </cdr:from>
    <cdr:to>
      <cdr:x>0.98775</cdr:x>
      <cdr:y>0.31375</cdr:y>
    </cdr:to>
    <cdr:sp>
      <cdr:nvSpPr>
        <cdr:cNvPr id="11" name="Straight Connector 8"/>
        <cdr:cNvSpPr>
          <a:spLocks/>
        </cdr:cNvSpPr>
      </cdr:nvSpPr>
      <cdr:spPr>
        <a:xfrm>
          <a:off x="495300" y="1152525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142875</xdr:rowOff>
    </xdr:from>
    <xdr:to>
      <xdr:col>7</xdr:col>
      <xdr:colOff>190500</xdr:colOff>
      <xdr:row>21</xdr:row>
      <xdr:rowOff>0</xdr:rowOff>
    </xdr:to>
    <xdr:grpSp>
      <xdr:nvGrpSpPr>
        <xdr:cNvPr id="1" name="Group 116"/>
        <xdr:cNvGrpSpPr>
          <a:grpSpLocks/>
        </xdr:cNvGrpSpPr>
      </xdr:nvGrpSpPr>
      <xdr:grpSpPr>
        <a:xfrm>
          <a:off x="676275" y="1438275"/>
          <a:ext cx="3781425" cy="1962150"/>
          <a:chOff x="78" y="144"/>
          <a:chExt cx="496" cy="266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242" y="220"/>
            <a:ext cx="238" cy="91"/>
          </a:xfrm>
          <a:custGeom>
            <a:pathLst>
              <a:path h="107" w="229">
                <a:moveTo>
                  <a:pt x="0" y="105"/>
                </a:moveTo>
                <a:cubicBezTo>
                  <a:pt x="33" y="105"/>
                  <a:pt x="66" y="105"/>
                  <a:pt x="97" y="88"/>
                </a:cubicBezTo>
                <a:cubicBezTo>
                  <a:pt x="128" y="71"/>
                  <a:pt x="163" y="0"/>
                  <a:pt x="185" y="3"/>
                </a:cubicBezTo>
                <a:cubicBezTo>
                  <a:pt x="207" y="6"/>
                  <a:pt x="222" y="90"/>
                  <a:pt x="229" y="10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"/>
          <xdr:cNvSpPr>
            <a:spLocks/>
          </xdr:cNvSpPr>
        </xdr:nvSpPr>
        <xdr:spPr>
          <a:xfrm flipV="1">
            <a:off x="109" y="311"/>
            <a:ext cx="4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0"/>
          <xdr:cNvSpPr>
            <a:spLocks/>
          </xdr:cNvSpPr>
        </xdr:nvSpPr>
        <xdr:spPr>
          <a:xfrm>
            <a:off x="161" y="305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1"/>
          <xdr:cNvSpPr>
            <a:spLocks/>
          </xdr:cNvSpPr>
        </xdr:nvSpPr>
        <xdr:spPr>
          <a:xfrm>
            <a:off x="479" y="304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3"/>
          <xdr:cNvSpPr>
            <a:spLocks/>
          </xdr:cNvSpPr>
        </xdr:nvSpPr>
        <xdr:spPr>
          <a:xfrm>
            <a:off x="320" y="305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0"/>
          <xdr:cNvSpPr>
            <a:spLocks/>
          </xdr:cNvSpPr>
        </xdr:nvSpPr>
        <xdr:spPr>
          <a:xfrm>
            <a:off x="241" y="155"/>
            <a:ext cx="161" cy="158"/>
          </a:xfrm>
          <a:custGeom>
            <a:pathLst>
              <a:path h="158" w="161">
                <a:moveTo>
                  <a:pt x="0" y="156"/>
                </a:moveTo>
                <a:cubicBezTo>
                  <a:pt x="14" y="156"/>
                  <a:pt x="29" y="157"/>
                  <a:pt x="42" y="131"/>
                </a:cubicBezTo>
                <a:cubicBezTo>
                  <a:pt x="55" y="105"/>
                  <a:pt x="68" y="0"/>
                  <a:pt x="81" y="0"/>
                </a:cubicBezTo>
                <a:cubicBezTo>
                  <a:pt x="94" y="0"/>
                  <a:pt x="107" y="106"/>
                  <a:pt x="120" y="132"/>
                </a:cubicBezTo>
                <a:cubicBezTo>
                  <a:pt x="133" y="158"/>
                  <a:pt x="147" y="156"/>
                  <a:pt x="161" y="15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76"/>
          <xdr:cNvSpPr>
            <a:spLocks/>
          </xdr:cNvSpPr>
        </xdr:nvSpPr>
        <xdr:spPr>
          <a:xfrm>
            <a:off x="160" y="220"/>
            <a:ext cx="235" cy="91"/>
          </a:xfrm>
          <a:custGeom>
            <a:pathLst>
              <a:path h="109" w="318">
                <a:moveTo>
                  <a:pt x="0" y="109"/>
                </a:moveTo>
                <a:cubicBezTo>
                  <a:pt x="16" y="58"/>
                  <a:pt x="33" y="8"/>
                  <a:pt x="62" y="4"/>
                </a:cubicBezTo>
                <a:cubicBezTo>
                  <a:pt x="91" y="0"/>
                  <a:pt x="132" y="69"/>
                  <a:pt x="175" y="86"/>
                </a:cubicBezTo>
                <a:cubicBezTo>
                  <a:pt x="218" y="103"/>
                  <a:pt x="268" y="105"/>
                  <a:pt x="318" y="10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77"/>
          <xdr:cNvSpPr txBox="1">
            <a:spLocks noChangeArrowheads="1"/>
          </xdr:cNvSpPr>
        </xdr:nvSpPr>
        <xdr:spPr>
          <a:xfrm>
            <a:off x="134" y="316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0" name="Text Box 78"/>
          <xdr:cNvSpPr txBox="1">
            <a:spLocks noChangeArrowheads="1"/>
          </xdr:cNvSpPr>
        </xdr:nvSpPr>
        <xdr:spPr>
          <a:xfrm>
            <a:off x="454" y="316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+1</a:t>
            </a:r>
          </a:p>
        </xdr:txBody>
      </xdr:sp>
      <xdr:sp>
        <xdr:nvSpPr>
          <xdr:cNvPr id="11" name="Text Box 79"/>
          <xdr:cNvSpPr txBox="1">
            <a:spLocks noChangeArrowheads="1"/>
          </xdr:cNvSpPr>
        </xdr:nvSpPr>
        <xdr:spPr>
          <a:xfrm>
            <a:off x="295" y="318"/>
            <a:ext cx="5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2" name="Text Box 80"/>
          <xdr:cNvSpPr txBox="1">
            <a:spLocks noChangeArrowheads="1"/>
          </xdr:cNvSpPr>
        </xdr:nvSpPr>
        <xdr:spPr>
          <a:xfrm>
            <a:off x="508" y="316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13" name="AutoShape 81"/>
          <xdr:cNvSpPr>
            <a:spLocks/>
          </xdr:cNvSpPr>
        </xdr:nvSpPr>
        <xdr:spPr>
          <a:xfrm>
            <a:off x="393" y="144"/>
            <a:ext cx="49" cy="28"/>
          </a:xfrm>
          <a:prstGeom prst="borderCallout2">
            <a:avLst>
              <a:gd name="adj1" fmla="val -162500"/>
              <a:gd name="adj2" fmla="val 100000"/>
              <a:gd name="adj3" fmla="val -112500"/>
              <a:gd name="adj4" fmla="val 3569"/>
              <a:gd name="adj5" fmla="val -70833"/>
              <a:gd name="adj6" fmla="val 356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6576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 = 0</a:t>
            </a:r>
          </a:p>
        </xdr:txBody>
      </xdr:sp>
      <xdr:sp>
        <xdr:nvSpPr>
          <xdr:cNvPr id="14" name="AutoShape 82"/>
          <xdr:cNvSpPr>
            <a:spLocks/>
          </xdr:cNvSpPr>
        </xdr:nvSpPr>
        <xdr:spPr>
          <a:xfrm>
            <a:off x="507" y="194"/>
            <a:ext cx="65" cy="27"/>
          </a:xfrm>
          <a:prstGeom prst="borderCallout2">
            <a:avLst>
              <a:gd name="adj1" fmla="val -134375"/>
              <a:gd name="adj2" fmla="val 100000"/>
              <a:gd name="adj3" fmla="val -96875"/>
              <a:gd name="adj4" fmla="val 3569"/>
              <a:gd name="adj5" fmla="val -65625"/>
              <a:gd name="adj6" fmla="val 356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6576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 = +.5 </a:t>
            </a:r>
          </a:p>
        </xdr:txBody>
      </xdr:sp>
      <xdr:sp>
        <xdr:nvSpPr>
          <xdr:cNvPr id="15" name="AutoShape 83"/>
          <xdr:cNvSpPr>
            <a:spLocks/>
          </xdr:cNvSpPr>
        </xdr:nvSpPr>
        <xdr:spPr>
          <a:xfrm>
            <a:off x="88" y="190"/>
            <a:ext cx="65" cy="27"/>
          </a:xfrm>
          <a:prstGeom prst="borderCallout2">
            <a:avLst>
              <a:gd name="adj1" fmla="val 107893"/>
              <a:gd name="adj2" fmla="val 85712"/>
              <a:gd name="adj3" fmla="val 85087"/>
              <a:gd name="adj4" fmla="val 3569"/>
              <a:gd name="adj5" fmla="val 67541"/>
              <a:gd name="adj6" fmla="val 356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6576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 = -.5</a:t>
            </a:r>
          </a:p>
        </xdr:txBody>
      </xdr:sp>
      <xdr:sp>
        <xdr:nvSpPr>
          <xdr:cNvPr id="16" name="Text Box 84"/>
          <xdr:cNvSpPr txBox="1">
            <a:spLocks noChangeArrowheads="1"/>
          </xdr:cNvSpPr>
        </xdr:nvSpPr>
        <xdr:spPr>
          <a:xfrm>
            <a:off x="78" y="365"/>
            <a:ext cx="49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Sampling Distributions of r for Different Values of </a:t>
            </a:r>
            <a:r>
              <a:rPr lang="en-US" cap="none" sz="1200" b="1" i="1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r</a:t>
            </a:r>
          </a:p>
        </xdr:txBody>
      </xdr:sp>
    </xdr:grpSp>
    <xdr:clientData/>
  </xdr:twoCellAnchor>
  <xdr:twoCellAnchor>
    <xdr:from>
      <xdr:col>1</xdr:col>
      <xdr:colOff>390525</xdr:colOff>
      <xdr:row>28</xdr:row>
      <xdr:rowOff>66675</xdr:rowOff>
    </xdr:from>
    <xdr:to>
      <xdr:col>7</xdr:col>
      <xdr:colOff>504825</xdr:colOff>
      <xdr:row>38</xdr:row>
      <xdr:rowOff>133350</xdr:rowOff>
    </xdr:to>
    <xdr:grpSp>
      <xdr:nvGrpSpPr>
        <xdr:cNvPr id="17" name="Group 165"/>
        <xdr:cNvGrpSpPr>
          <a:grpSpLocks/>
        </xdr:cNvGrpSpPr>
      </xdr:nvGrpSpPr>
      <xdr:grpSpPr>
        <a:xfrm>
          <a:off x="1000125" y="4591050"/>
          <a:ext cx="3771900" cy="1685925"/>
          <a:chOff x="134" y="627"/>
          <a:chExt cx="495" cy="229"/>
        </a:xfrm>
        <a:solidFill>
          <a:srgbClr val="FFFFFF"/>
        </a:solidFill>
      </xdr:grpSpPr>
      <xdr:sp>
        <xdr:nvSpPr>
          <xdr:cNvPr id="18" name="Line 90"/>
          <xdr:cNvSpPr>
            <a:spLocks/>
          </xdr:cNvSpPr>
        </xdr:nvSpPr>
        <xdr:spPr>
          <a:xfrm>
            <a:off x="159" y="797"/>
            <a:ext cx="39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91"/>
          <xdr:cNvSpPr>
            <a:spLocks/>
          </xdr:cNvSpPr>
        </xdr:nvSpPr>
        <xdr:spPr>
          <a:xfrm>
            <a:off x="160" y="627"/>
            <a:ext cx="398" cy="169"/>
          </a:xfrm>
          <a:custGeom>
            <a:pathLst>
              <a:path h="169" w="400">
                <a:moveTo>
                  <a:pt x="0" y="168"/>
                </a:moveTo>
                <a:cubicBezTo>
                  <a:pt x="54" y="168"/>
                  <a:pt x="108" y="168"/>
                  <a:pt x="160" y="141"/>
                </a:cubicBezTo>
                <a:cubicBezTo>
                  <a:pt x="212" y="114"/>
                  <a:pt x="274" y="0"/>
                  <a:pt x="314" y="5"/>
                </a:cubicBezTo>
                <a:cubicBezTo>
                  <a:pt x="354" y="10"/>
                  <a:pt x="386" y="142"/>
                  <a:pt x="400" y="16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92"/>
          <xdr:cNvSpPr>
            <a:spLocks/>
          </xdr:cNvSpPr>
        </xdr:nvSpPr>
        <xdr:spPr>
          <a:xfrm flipV="1">
            <a:off x="160" y="785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3"/>
          <xdr:cNvSpPr>
            <a:spLocks/>
          </xdr:cNvSpPr>
        </xdr:nvSpPr>
        <xdr:spPr>
          <a:xfrm flipV="1">
            <a:off x="240" y="78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94"/>
          <xdr:cNvSpPr>
            <a:spLocks/>
          </xdr:cNvSpPr>
        </xdr:nvSpPr>
        <xdr:spPr>
          <a:xfrm flipV="1">
            <a:off x="318" y="789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5"/>
          <xdr:cNvSpPr>
            <a:spLocks/>
          </xdr:cNvSpPr>
        </xdr:nvSpPr>
        <xdr:spPr>
          <a:xfrm flipV="1">
            <a:off x="399" y="78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6"/>
          <xdr:cNvSpPr>
            <a:spLocks/>
          </xdr:cNvSpPr>
        </xdr:nvSpPr>
        <xdr:spPr>
          <a:xfrm flipV="1">
            <a:off x="480" y="789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7"/>
          <xdr:cNvSpPr>
            <a:spLocks/>
          </xdr:cNvSpPr>
        </xdr:nvSpPr>
        <xdr:spPr>
          <a:xfrm flipV="1">
            <a:off x="560" y="789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98"/>
          <xdr:cNvSpPr txBox="1">
            <a:spLocks noChangeArrowheads="1"/>
          </xdr:cNvSpPr>
        </xdr:nvSpPr>
        <xdr:spPr>
          <a:xfrm>
            <a:off x="134" y="796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.5</a:t>
            </a:r>
          </a:p>
        </xdr:txBody>
      </xdr:sp>
      <xdr:sp>
        <xdr:nvSpPr>
          <xdr:cNvPr id="27" name="Text Box 99"/>
          <xdr:cNvSpPr txBox="1">
            <a:spLocks noChangeArrowheads="1"/>
          </xdr:cNvSpPr>
        </xdr:nvSpPr>
        <xdr:spPr>
          <a:xfrm>
            <a:off x="217" y="796"/>
            <a:ext cx="5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.6</a:t>
            </a:r>
          </a:p>
        </xdr:txBody>
      </xdr:sp>
      <xdr:sp>
        <xdr:nvSpPr>
          <xdr:cNvPr id="28" name="Text Box 100"/>
          <xdr:cNvSpPr txBox="1">
            <a:spLocks noChangeArrowheads="1"/>
          </xdr:cNvSpPr>
        </xdr:nvSpPr>
        <xdr:spPr>
          <a:xfrm>
            <a:off x="293" y="802"/>
            <a:ext cx="49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.7</a:t>
            </a:r>
          </a:p>
        </xdr:txBody>
      </xdr:sp>
      <xdr:sp>
        <xdr:nvSpPr>
          <xdr:cNvPr id="29" name="Text Box 101"/>
          <xdr:cNvSpPr txBox="1">
            <a:spLocks noChangeArrowheads="1"/>
          </xdr:cNvSpPr>
        </xdr:nvSpPr>
        <xdr:spPr>
          <a:xfrm>
            <a:off x="375" y="798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.8</a:t>
            </a:r>
          </a:p>
        </xdr:txBody>
      </xdr:sp>
      <xdr:sp>
        <xdr:nvSpPr>
          <xdr:cNvPr id="30" name="Text Box 102"/>
          <xdr:cNvSpPr txBox="1">
            <a:spLocks noChangeArrowheads="1"/>
          </xdr:cNvSpPr>
        </xdr:nvSpPr>
        <xdr:spPr>
          <a:xfrm>
            <a:off x="455" y="796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.9</a:t>
            </a:r>
          </a:p>
        </xdr:txBody>
      </xdr:sp>
      <xdr:sp>
        <xdr:nvSpPr>
          <xdr:cNvPr id="31" name="Text Box 103"/>
          <xdr:cNvSpPr txBox="1">
            <a:spLocks noChangeArrowheads="1"/>
          </xdr:cNvSpPr>
        </xdr:nvSpPr>
        <xdr:spPr>
          <a:xfrm>
            <a:off x="534" y="796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2" name="AutoShape 104"/>
          <xdr:cNvSpPr>
            <a:spLocks/>
          </xdr:cNvSpPr>
        </xdr:nvSpPr>
        <xdr:spPr>
          <a:xfrm>
            <a:off x="437" y="798"/>
            <a:ext cx="11" cy="15"/>
          </a:xfrm>
          <a:prstGeom prst="triangle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6"/>
          <xdr:cNvSpPr>
            <a:spLocks/>
          </xdr:cNvSpPr>
        </xdr:nvSpPr>
        <xdr:spPr>
          <a:xfrm flipV="1">
            <a:off x="537" y="739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7"/>
          <xdr:cNvSpPr>
            <a:spLocks/>
          </xdr:cNvSpPr>
        </xdr:nvSpPr>
        <xdr:spPr>
          <a:xfrm flipV="1">
            <a:off x="295" y="77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08"/>
          <xdr:cNvSpPr>
            <a:spLocks/>
          </xdr:cNvSpPr>
        </xdr:nvSpPr>
        <xdr:spPr>
          <a:xfrm rot="16200000">
            <a:off x="443" y="777"/>
            <a:ext cx="95" cy="17"/>
          </a:xfrm>
          <a:prstGeom prst="rightBrace">
            <a:avLst>
              <a:gd name="adj1" fmla="val -41578"/>
              <a:gd name="adj2" fmla="val -52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09"/>
          <xdr:cNvSpPr>
            <a:spLocks/>
          </xdr:cNvSpPr>
        </xdr:nvSpPr>
        <xdr:spPr>
          <a:xfrm rot="16200000">
            <a:off x="297" y="777"/>
            <a:ext cx="143" cy="15"/>
          </a:xfrm>
          <a:prstGeom prst="rightBrace">
            <a:avLst>
              <a:gd name="adj1" fmla="val -41578"/>
              <a:gd name="adj2" fmla="val -52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110"/>
          <xdr:cNvSpPr txBox="1">
            <a:spLocks noChangeArrowheads="1"/>
          </xdr:cNvSpPr>
        </xdr:nvSpPr>
        <xdr:spPr>
          <a:xfrm>
            <a:off x="522" y="825"/>
            <a:ext cx="5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38" name="AutoShape 111"/>
          <xdr:cNvSpPr>
            <a:spLocks/>
          </xdr:cNvSpPr>
        </xdr:nvSpPr>
        <xdr:spPr>
          <a:xfrm>
            <a:off x="557" y="701"/>
            <a:ext cx="75" cy="32"/>
          </a:xfrm>
          <a:prstGeom prst="borderCallout2">
            <a:avLst>
              <a:gd name="adj1" fmla="val -204657"/>
              <a:gd name="adj2" fmla="val 230671"/>
              <a:gd name="adj3" fmla="val -125000"/>
              <a:gd name="adj4" fmla="val 3569"/>
              <a:gd name="adj5" fmla="val -63888"/>
              <a:gd name="adj6" fmla="val 356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6576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 = +.85 </a:t>
            </a:r>
          </a:p>
        </xdr:txBody>
      </xdr:sp>
      <xdr:sp>
        <xdr:nvSpPr>
          <xdr:cNvPr id="39" name="Freeform 113"/>
          <xdr:cNvSpPr>
            <a:spLocks/>
          </xdr:cNvSpPr>
        </xdr:nvSpPr>
        <xdr:spPr>
          <a:xfrm>
            <a:off x="199" y="779"/>
            <a:ext cx="95" cy="17"/>
          </a:xfrm>
          <a:custGeom>
            <a:pathLst>
              <a:path h="17" w="95">
                <a:moveTo>
                  <a:pt x="95" y="16"/>
                </a:moveTo>
                <a:lnTo>
                  <a:pt x="95" y="0"/>
                </a:lnTo>
                <a:lnTo>
                  <a:pt x="84" y="4"/>
                </a:lnTo>
                <a:lnTo>
                  <a:pt x="73" y="8"/>
                </a:lnTo>
                <a:lnTo>
                  <a:pt x="60" y="10"/>
                </a:lnTo>
                <a:lnTo>
                  <a:pt x="47" y="12"/>
                </a:lnTo>
                <a:lnTo>
                  <a:pt x="33" y="14"/>
                </a:lnTo>
                <a:lnTo>
                  <a:pt x="20" y="16"/>
                </a:lnTo>
                <a:lnTo>
                  <a:pt x="6" y="16"/>
                </a:lnTo>
                <a:lnTo>
                  <a:pt x="0" y="17"/>
                </a:lnTo>
                <a:lnTo>
                  <a:pt x="95" y="16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114"/>
          <xdr:cNvSpPr>
            <a:spLocks/>
          </xdr:cNvSpPr>
        </xdr:nvSpPr>
        <xdr:spPr>
          <a:xfrm>
            <a:off x="538" y="741"/>
            <a:ext cx="21" cy="56"/>
          </a:xfrm>
          <a:custGeom>
            <a:pathLst>
              <a:path h="56" w="21">
                <a:moveTo>
                  <a:pt x="0" y="56"/>
                </a:moveTo>
                <a:lnTo>
                  <a:pt x="0" y="0"/>
                </a:lnTo>
                <a:lnTo>
                  <a:pt x="11" y="36"/>
                </a:lnTo>
                <a:lnTo>
                  <a:pt x="21" y="56"/>
                </a:lnTo>
                <a:lnTo>
                  <a:pt x="0" y="56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56</xdr:row>
      <xdr:rowOff>19050</xdr:rowOff>
    </xdr:from>
    <xdr:to>
      <xdr:col>6</xdr:col>
      <xdr:colOff>361950</xdr:colOff>
      <xdr:row>67</xdr:row>
      <xdr:rowOff>66675</xdr:rowOff>
    </xdr:to>
    <xdr:grpSp>
      <xdr:nvGrpSpPr>
        <xdr:cNvPr id="41" name="Group 163"/>
        <xdr:cNvGrpSpPr>
          <a:grpSpLocks/>
        </xdr:cNvGrpSpPr>
      </xdr:nvGrpSpPr>
      <xdr:grpSpPr>
        <a:xfrm>
          <a:off x="476250" y="9334500"/>
          <a:ext cx="3543300" cy="1828800"/>
          <a:chOff x="222" y="1282"/>
          <a:chExt cx="465" cy="249"/>
        </a:xfrm>
        <a:solidFill>
          <a:srgbClr val="FFFFFF"/>
        </a:solidFill>
      </xdr:grpSpPr>
      <xdr:sp>
        <xdr:nvSpPr>
          <xdr:cNvPr id="42" name="Line 119"/>
          <xdr:cNvSpPr>
            <a:spLocks/>
          </xdr:cNvSpPr>
        </xdr:nvSpPr>
        <xdr:spPr>
          <a:xfrm>
            <a:off x="242" y="1331"/>
            <a:ext cx="35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20"/>
          <xdr:cNvSpPr>
            <a:spLocks/>
          </xdr:cNvSpPr>
        </xdr:nvSpPr>
        <xdr:spPr>
          <a:xfrm>
            <a:off x="222" y="1485"/>
            <a:ext cx="4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121"/>
          <xdr:cNvSpPr>
            <a:spLocks/>
          </xdr:cNvSpPr>
        </xdr:nvSpPr>
        <xdr:spPr>
          <a:xfrm>
            <a:off x="411" y="1319"/>
            <a:ext cx="129" cy="22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22"/>
          <xdr:cNvSpPr>
            <a:spLocks/>
          </xdr:cNvSpPr>
        </xdr:nvSpPr>
        <xdr:spPr>
          <a:xfrm>
            <a:off x="458" y="1475"/>
            <a:ext cx="167" cy="21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23"/>
          <xdr:cNvSpPr>
            <a:spLocks/>
          </xdr:cNvSpPr>
        </xdr:nvSpPr>
        <xdr:spPr>
          <a:xfrm flipV="1">
            <a:off x="500" y="1322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4"/>
          <xdr:cNvSpPr>
            <a:spLocks/>
          </xdr:cNvSpPr>
        </xdr:nvSpPr>
        <xdr:spPr>
          <a:xfrm flipV="1">
            <a:off x="542" y="1474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25"/>
          <xdr:cNvSpPr>
            <a:spLocks/>
          </xdr:cNvSpPr>
        </xdr:nvSpPr>
        <xdr:spPr>
          <a:xfrm>
            <a:off x="504" y="1348"/>
            <a:ext cx="34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27"/>
          <xdr:cNvSpPr>
            <a:spLocks/>
          </xdr:cNvSpPr>
        </xdr:nvSpPr>
        <xdr:spPr>
          <a:xfrm flipH="1" flipV="1">
            <a:off x="414" y="1343"/>
            <a:ext cx="40" cy="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28"/>
          <xdr:cNvSpPr>
            <a:spLocks/>
          </xdr:cNvSpPr>
        </xdr:nvSpPr>
        <xdr:spPr>
          <a:xfrm flipH="1" flipV="1">
            <a:off x="547" y="1341"/>
            <a:ext cx="72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53"/>
          <xdr:cNvSpPr txBox="1">
            <a:spLocks noChangeArrowheads="1"/>
          </xdr:cNvSpPr>
        </xdr:nvSpPr>
        <xdr:spPr>
          <a:xfrm>
            <a:off x="557" y="1330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52" name="Text Box 154"/>
          <xdr:cNvSpPr txBox="1">
            <a:spLocks noChangeArrowheads="1"/>
          </xdr:cNvSpPr>
        </xdr:nvSpPr>
        <xdr:spPr>
          <a:xfrm>
            <a:off x="638" y="1484"/>
            <a:ext cx="4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  <a:r>
              <a:rPr lang="en-US" cap="none" sz="1000" b="1" i="1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53" name="Text Box 155"/>
          <xdr:cNvSpPr txBox="1">
            <a:spLocks noChangeArrowheads="1"/>
          </xdr:cNvSpPr>
        </xdr:nvSpPr>
        <xdr:spPr>
          <a:xfrm>
            <a:off x="518" y="1499"/>
            <a:ext cx="60" cy="30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1.099</a:t>
            </a:r>
          </a:p>
        </xdr:txBody>
      </xdr:sp>
      <xdr:sp>
        <xdr:nvSpPr>
          <xdr:cNvPr id="54" name="Text Box 156"/>
          <xdr:cNvSpPr txBox="1">
            <a:spLocks noChangeArrowheads="1"/>
          </xdr:cNvSpPr>
        </xdr:nvSpPr>
        <xdr:spPr>
          <a:xfrm>
            <a:off x="596" y="1500"/>
            <a:ext cx="58" cy="31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1.491</a:t>
            </a:r>
          </a:p>
        </xdr:txBody>
      </xdr:sp>
      <xdr:sp>
        <xdr:nvSpPr>
          <xdr:cNvPr id="55" name="Text Box 157"/>
          <xdr:cNvSpPr txBox="1">
            <a:spLocks noChangeArrowheads="1"/>
          </xdr:cNvSpPr>
        </xdr:nvSpPr>
        <xdr:spPr>
          <a:xfrm>
            <a:off x="437" y="1500"/>
            <a:ext cx="49" cy="31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.707</a:t>
            </a:r>
          </a:p>
        </xdr:txBody>
      </xdr:sp>
      <xdr:sp>
        <xdr:nvSpPr>
          <xdr:cNvPr id="56" name="Text Box 158"/>
          <xdr:cNvSpPr txBox="1">
            <a:spLocks noChangeArrowheads="1"/>
          </xdr:cNvSpPr>
        </xdr:nvSpPr>
        <xdr:spPr>
          <a:xfrm>
            <a:off x="525" y="1283"/>
            <a:ext cx="50" cy="31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.904</a:t>
            </a:r>
          </a:p>
        </xdr:txBody>
      </xdr:sp>
      <xdr:sp>
        <xdr:nvSpPr>
          <xdr:cNvPr id="57" name="Text Box 159"/>
          <xdr:cNvSpPr txBox="1">
            <a:spLocks noChangeArrowheads="1"/>
          </xdr:cNvSpPr>
        </xdr:nvSpPr>
        <xdr:spPr>
          <a:xfrm>
            <a:off x="386" y="1282"/>
            <a:ext cx="49" cy="31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.609</a:t>
            </a:r>
          </a:p>
        </xdr:txBody>
      </xdr:sp>
      <xdr:sp>
        <xdr:nvSpPr>
          <xdr:cNvPr id="58" name="Text Box 160"/>
          <xdr:cNvSpPr txBox="1">
            <a:spLocks noChangeArrowheads="1"/>
          </xdr:cNvSpPr>
        </xdr:nvSpPr>
        <xdr:spPr>
          <a:xfrm>
            <a:off x="468" y="1283"/>
            <a:ext cx="49" cy="31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.80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0.21025</cdr:y>
    </cdr:from>
    <cdr:to>
      <cdr:x>0.95325</cdr:x>
      <cdr:y>0.65425</cdr:y>
    </cdr:to>
    <cdr:sp>
      <cdr:nvSpPr>
        <cdr:cNvPr id="1" name="Line 3"/>
        <cdr:cNvSpPr>
          <a:spLocks/>
        </cdr:cNvSpPr>
      </cdr:nvSpPr>
      <cdr:spPr>
        <a:xfrm flipV="1">
          <a:off x="514350" y="571500"/>
          <a:ext cx="30765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0.2955</cdr:y>
    </cdr:from>
    <cdr:to>
      <cdr:x>0.69225</cdr:x>
      <cdr:y>0.42125</cdr:y>
    </cdr:to>
    <cdr:grpSp>
      <cdr:nvGrpSpPr>
        <cdr:cNvPr id="2" name="Group 8"/>
        <cdr:cNvGrpSpPr>
          <a:grpSpLocks/>
        </cdr:cNvGrpSpPr>
      </cdr:nvGrpSpPr>
      <cdr:grpSpPr>
        <a:xfrm>
          <a:off x="2343150" y="800100"/>
          <a:ext cx="257175" cy="342900"/>
          <a:chOff x="2208665" y="746779"/>
          <a:chExt cx="296174" cy="335539"/>
        </a:xfrm>
        <a:solidFill>
          <a:srgbClr val="FFFFFF"/>
        </a:solidFill>
      </cdr:grpSpPr>
      <cdr:sp>
        <cdr:nvSpPr>
          <cdr:cNvPr id="3" name="AutoShape 2"/>
          <cdr:cNvSpPr>
            <a:spLocks/>
          </cdr:cNvSpPr>
        </cdr:nvSpPr>
        <cdr:spPr>
          <a:xfrm>
            <a:off x="2208665" y="696030"/>
            <a:ext cx="89371" cy="33553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5"/>
          <cdr:cNvSpPr txBox="1">
            <a:spLocks noChangeArrowheads="1"/>
          </cdr:cNvSpPr>
        </cdr:nvSpPr>
        <cdr:spPr>
          <a:xfrm>
            <a:off x="2249981" y="749883"/>
            <a:ext cx="204064" cy="1446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75" b="0" i="1" u="none" baseline="0">
                <a:solidFill>
                  <a:srgbClr val="000000"/>
                </a:solidFill>
              </a:rPr>
              <a:t>e</a:t>
            </a:r>
          </a:p>
        </cdr:txBody>
      </cdr:sp>
    </cdr:grpSp>
  </cdr:relSizeAnchor>
  <cdr:relSizeAnchor xmlns:cdr="http://schemas.openxmlformats.org/drawingml/2006/chartDrawing">
    <cdr:from>
      <cdr:x>0.506</cdr:x>
      <cdr:y>0.46375</cdr:y>
    </cdr:from>
    <cdr:to>
      <cdr:x>0.599</cdr:x>
      <cdr:y>0.68575</cdr:y>
    </cdr:to>
    <cdr:grpSp>
      <cdr:nvGrpSpPr>
        <cdr:cNvPr id="5" name="Group 7"/>
        <cdr:cNvGrpSpPr>
          <a:grpSpLocks/>
        </cdr:cNvGrpSpPr>
      </cdr:nvGrpSpPr>
      <cdr:grpSpPr>
        <a:xfrm>
          <a:off x="1905000" y="1257300"/>
          <a:ext cx="352425" cy="600075"/>
          <a:chOff x="1790590" y="1272593"/>
          <a:chExt cx="335001" cy="564006"/>
        </a:xfrm>
        <a:solidFill>
          <a:srgbClr val="FFFFFF"/>
        </a:solidFill>
      </cdr:grpSpPr>
      <cdr:sp>
        <cdr:nvSpPr>
          <cdr:cNvPr id="6" name="AutoShape 4"/>
          <cdr:cNvSpPr>
            <a:spLocks/>
          </cdr:cNvSpPr>
        </cdr:nvSpPr>
        <cdr:spPr>
          <a:xfrm>
            <a:off x="1790590" y="1221974"/>
            <a:ext cx="130902" cy="564006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870739" y="1389624"/>
            <a:ext cx="204099" cy="1445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75" b="0" i="1" u="none" baseline="0">
                <a:solidFill>
                  <a:srgbClr val="000000"/>
                </a:solidFill>
              </a:rPr>
              <a:t>e</a:t>
            </a:r>
          </a:p>
        </cdr:txBody>
      </cdr:sp>
    </cdr:grpSp>
  </cdr:relSizeAnchor>
  <cdr:relSizeAnchor xmlns:cdr="http://schemas.openxmlformats.org/drawingml/2006/chartDrawing">
    <cdr:from>
      <cdr:x>0.13775</cdr:x>
      <cdr:y>0.40125</cdr:y>
    </cdr:from>
    <cdr:to>
      <cdr:x>0.609</cdr:x>
      <cdr:y>0.40125</cdr:y>
    </cdr:to>
    <cdr:sp>
      <cdr:nvSpPr>
        <cdr:cNvPr id="8" name="Line 9"/>
        <cdr:cNvSpPr>
          <a:spLocks/>
        </cdr:cNvSpPr>
      </cdr:nvSpPr>
      <cdr:spPr>
        <a:xfrm flipH="1">
          <a:off x="514350" y="1085850"/>
          <a:ext cx="1781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0.13775</cdr:x>
      <cdr:y>0.44525</cdr:y>
    </cdr:from>
    <cdr:to>
      <cdr:x>0.49275</cdr:x>
      <cdr:y>0.44525</cdr:y>
    </cdr:to>
    <cdr:sp>
      <cdr:nvSpPr>
        <cdr:cNvPr id="9" name="Line 13"/>
        <cdr:cNvSpPr>
          <a:spLocks/>
        </cdr:cNvSpPr>
      </cdr:nvSpPr>
      <cdr:spPr>
        <a:xfrm flipH="1" flipV="1">
          <a:off x="514350" y="1209675"/>
          <a:ext cx="1343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0.27625</cdr:y>
    </cdr:from>
    <cdr:to>
      <cdr:x>0.60975</cdr:x>
      <cdr:y>0.27625</cdr:y>
    </cdr:to>
    <cdr:sp>
      <cdr:nvSpPr>
        <cdr:cNvPr id="10" name="Line 14"/>
        <cdr:cNvSpPr>
          <a:spLocks/>
        </cdr:cNvSpPr>
      </cdr:nvSpPr>
      <cdr:spPr>
        <a:xfrm flipH="1">
          <a:off x="514350" y="752475"/>
          <a:ext cx="1781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0.13775</cdr:x>
      <cdr:y>0.668</cdr:y>
    </cdr:from>
    <cdr:to>
      <cdr:x>0.49275</cdr:x>
      <cdr:y>0.668</cdr:y>
    </cdr:to>
    <cdr:sp>
      <cdr:nvSpPr>
        <cdr:cNvPr id="11" name="Line 15"/>
        <cdr:cNvSpPr>
          <a:spLocks/>
        </cdr:cNvSpPr>
      </cdr:nvSpPr>
      <cdr:spPr>
        <a:xfrm flipH="1">
          <a:off x="514350" y="1819275"/>
          <a:ext cx="1343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0.4205</cdr:y>
    </cdr:from>
    <cdr:to>
      <cdr:x>0.08975</cdr:x>
      <cdr:y>0.49275</cdr:y>
    </cdr:to>
    <cdr:pic>
      <cdr:nvPicPr>
        <cdr:cNvPr id="12" name="Picture 1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1143000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0.05325</cdr:x>
      <cdr:y>0.35175</cdr:y>
    </cdr:from>
    <cdr:to>
      <cdr:x>0.08975</cdr:x>
      <cdr:y>0.424</cdr:y>
    </cdr:to>
    <cdr:pic>
      <cdr:nvPicPr>
        <cdr:cNvPr id="13" name="Picture 1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952500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0.0535</cdr:x>
      <cdr:y>0.2405</cdr:y>
    </cdr:from>
    <cdr:to>
      <cdr:x>0.09025</cdr:x>
      <cdr:y>0.29825</cdr:y>
    </cdr:to>
    <cdr:pic>
      <cdr:nvPicPr>
        <cdr:cNvPr id="14" name="Picture 1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0025" y="64770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0.05325</cdr:x>
      <cdr:y>0.63775</cdr:y>
    </cdr:from>
    <cdr:to>
      <cdr:x>0.08975</cdr:x>
      <cdr:y>0.6955</cdr:y>
    </cdr:to>
    <cdr:pic>
      <cdr:nvPicPr>
        <cdr:cNvPr id="15" name="Picture 20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0025" y="1733550"/>
          <a:ext cx="133350" cy="1619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0.11475</cdr:x>
      <cdr:y>0.12225</cdr:y>
    </cdr:from>
    <cdr:to>
      <cdr:x>0.985</cdr:x>
      <cdr:y>0.74025</cdr:y>
    </cdr:to>
    <cdr:sp>
      <cdr:nvSpPr>
        <cdr:cNvPr id="16" name="Straight Connector 2"/>
        <cdr:cNvSpPr>
          <a:spLocks/>
        </cdr:cNvSpPr>
      </cdr:nvSpPr>
      <cdr:spPr>
        <a:xfrm>
          <a:off x="428625" y="323850"/>
          <a:ext cx="3286125" cy="1685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0.16025</cdr:y>
    </cdr:from>
    <cdr:to>
      <cdr:x>0.98975</cdr:x>
      <cdr:y>0.8475</cdr:y>
    </cdr:to>
    <cdr:sp>
      <cdr:nvSpPr>
        <cdr:cNvPr id="1" name="Straight Connector 2"/>
        <cdr:cNvSpPr>
          <a:spLocks/>
        </cdr:cNvSpPr>
      </cdr:nvSpPr>
      <cdr:spPr>
        <a:xfrm>
          <a:off x="466725" y="447675"/>
          <a:ext cx="3009900" cy="1952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0.66175</cdr:y>
    </cdr:from>
    <cdr:to>
      <cdr:x>0.7565</cdr:x>
      <cdr:y>0.66175</cdr:y>
    </cdr:to>
    <cdr:sp>
      <cdr:nvSpPr>
        <cdr:cNvPr id="2" name="Straight Arrow Connector 4"/>
        <cdr:cNvSpPr>
          <a:spLocks/>
        </cdr:cNvSpPr>
      </cdr:nvSpPr>
      <cdr:spPr>
        <a:xfrm flipH="1">
          <a:off x="485775" y="1876425"/>
          <a:ext cx="21717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0.40925</cdr:y>
    </cdr:from>
    <cdr:to>
      <cdr:x>0.44175</cdr:x>
      <cdr:y>0.40925</cdr:y>
    </cdr:to>
    <cdr:sp>
      <cdr:nvSpPr>
        <cdr:cNvPr id="3" name="Straight Arrow Connector 6"/>
        <cdr:cNvSpPr>
          <a:spLocks/>
        </cdr:cNvSpPr>
      </cdr:nvSpPr>
      <cdr:spPr>
        <a:xfrm flipH="1">
          <a:off x="466725" y="1162050"/>
          <a:ext cx="107632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0.1365</cdr:x>
      <cdr:y>0.33</cdr:y>
    </cdr:from>
    <cdr:to>
      <cdr:x>0.34075</cdr:x>
      <cdr:y>0.33</cdr:y>
    </cdr:to>
    <cdr:sp>
      <cdr:nvSpPr>
        <cdr:cNvPr id="4" name="Straight Arrow Connector 8"/>
        <cdr:cNvSpPr>
          <a:spLocks/>
        </cdr:cNvSpPr>
      </cdr:nvSpPr>
      <cdr:spPr>
        <a:xfrm flipH="1">
          <a:off x="476250" y="933450"/>
          <a:ext cx="71437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96</xdr:row>
      <xdr:rowOff>114300</xdr:rowOff>
    </xdr:from>
    <xdr:to>
      <xdr:col>7</xdr:col>
      <xdr:colOff>419100</xdr:colOff>
      <xdr:row>119</xdr:row>
      <xdr:rowOff>133350</xdr:rowOff>
    </xdr:to>
    <xdr:graphicFrame>
      <xdr:nvGraphicFramePr>
        <xdr:cNvPr id="1" name="Chart 5"/>
        <xdr:cNvGraphicFramePr/>
      </xdr:nvGraphicFramePr>
      <xdr:xfrm>
        <a:off x="314325" y="15535275"/>
        <a:ext cx="4000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127</xdr:row>
      <xdr:rowOff>9525</xdr:rowOff>
    </xdr:from>
    <xdr:to>
      <xdr:col>8</xdr:col>
      <xdr:colOff>390525</xdr:colOff>
      <xdr:row>143</xdr:row>
      <xdr:rowOff>142875</xdr:rowOff>
    </xdr:to>
    <xdr:graphicFrame>
      <xdr:nvGraphicFramePr>
        <xdr:cNvPr id="2" name="Chart 20"/>
        <xdr:cNvGraphicFramePr/>
      </xdr:nvGraphicFramePr>
      <xdr:xfrm>
        <a:off x="1123950" y="20402550"/>
        <a:ext cx="37719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178</xdr:row>
      <xdr:rowOff>133350</xdr:rowOff>
    </xdr:from>
    <xdr:to>
      <xdr:col>10</xdr:col>
      <xdr:colOff>200025</xdr:colOff>
      <xdr:row>196</xdr:row>
      <xdr:rowOff>66675</xdr:rowOff>
    </xdr:to>
    <xdr:graphicFrame>
      <xdr:nvGraphicFramePr>
        <xdr:cNvPr id="3" name="Chart 23"/>
        <xdr:cNvGraphicFramePr/>
      </xdr:nvGraphicFramePr>
      <xdr:xfrm>
        <a:off x="2466975" y="28717875"/>
        <a:ext cx="35147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238</xdr:row>
      <xdr:rowOff>19050</xdr:rowOff>
    </xdr:from>
    <xdr:to>
      <xdr:col>8</xdr:col>
      <xdr:colOff>476250</xdr:colOff>
      <xdr:row>251</xdr:row>
      <xdr:rowOff>38100</xdr:rowOff>
    </xdr:to>
    <xdr:sp>
      <xdr:nvSpPr>
        <xdr:cNvPr id="4" name="Freeform 45"/>
        <xdr:cNvSpPr>
          <a:spLocks/>
        </xdr:cNvSpPr>
      </xdr:nvSpPr>
      <xdr:spPr>
        <a:xfrm>
          <a:off x="2085975" y="38252400"/>
          <a:ext cx="2895600" cy="2085975"/>
        </a:xfrm>
        <a:custGeom>
          <a:pathLst>
            <a:path h="289" w="382">
              <a:moveTo>
                <a:pt x="0" y="0"/>
              </a:moveTo>
              <a:lnTo>
                <a:pt x="0" y="289"/>
              </a:lnTo>
              <a:lnTo>
                <a:pt x="382" y="289"/>
              </a:lnTo>
              <a:lnTo>
                <a:pt x="365" y="28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238</xdr:row>
      <xdr:rowOff>47625</xdr:rowOff>
    </xdr:from>
    <xdr:to>
      <xdr:col>8</xdr:col>
      <xdr:colOff>523875</xdr:colOff>
      <xdr:row>247</xdr:row>
      <xdr:rowOff>152400</xdr:rowOff>
    </xdr:to>
    <xdr:sp>
      <xdr:nvSpPr>
        <xdr:cNvPr id="5" name="Line 47"/>
        <xdr:cNvSpPr>
          <a:spLocks/>
        </xdr:cNvSpPr>
      </xdr:nvSpPr>
      <xdr:spPr>
        <a:xfrm flipV="1">
          <a:off x="1724025" y="38280975"/>
          <a:ext cx="33051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246</xdr:row>
      <xdr:rowOff>133350</xdr:rowOff>
    </xdr:from>
    <xdr:to>
      <xdr:col>4</xdr:col>
      <xdr:colOff>114300</xdr:colOff>
      <xdr:row>251</xdr:row>
      <xdr:rowOff>47625</xdr:rowOff>
    </xdr:to>
    <xdr:sp>
      <xdr:nvSpPr>
        <xdr:cNvPr id="6" name="AutoShape 48"/>
        <xdr:cNvSpPr>
          <a:spLocks/>
        </xdr:cNvSpPr>
      </xdr:nvSpPr>
      <xdr:spPr>
        <a:xfrm>
          <a:off x="2095500" y="39643050"/>
          <a:ext cx="952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251</xdr:row>
      <xdr:rowOff>152400</xdr:rowOff>
    </xdr:from>
    <xdr:to>
      <xdr:col>4</xdr:col>
      <xdr:colOff>133350</xdr:colOff>
      <xdr:row>253</xdr:row>
      <xdr:rowOff>9525</xdr:rowOff>
    </xdr:to>
    <xdr:sp>
      <xdr:nvSpPr>
        <xdr:cNvPr id="7" name="Text Box 50"/>
        <xdr:cNvSpPr txBox="1">
          <a:spLocks noChangeArrowheads="1"/>
        </xdr:cNvSpPr>
      </xdr:nvSpPr>
      <xdr:spPr>
        <a:xfrm>
          <a:off x="1962150" y="404526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9525</xdr:colOff>
      <xdr:row>243</xdr:row>
      <xdr:rowOff>76200</xdr:rowOff>
    </xdr:from>
    <xdr:to>
      <xdr:col>5</xdr:col>
      <xdr:colOff>600075</xdr:colOff>
      <xdr:row>245</xdr:row>
      <xdr:rowOff>28575</xdr:rowOff>
    </xdr:to>
    <xdr:sp>
      <xdr:nvSpPr>
        <xdr:cNvPr id="8" name="Freeform 51"/>
        <xdr:cNvSpPr>
          <a:spLocks/>
        </xdr:cNvSpPr>
      </xdr:nvSpPr>
      <xdr:spPr>
        <a:xfrm>
          <a:off x="2695575" y="39119175"/>
          <a:ext cx="590550" cy="257175"/>
        </a:xfrm>
        <a:custGeom>
          <a:pathLst>
            <a:path h="44" w="79">
              <a:moveTo>
                <a:pt x="0" y="44"/>
              </a:moveTo>
              <a:lnTo>
                <a:pt x="79" y="44"/>
              </a:lnTo>
              <a:lnTo>
                <a:pt x="7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114300</xdr:rowOff>
    </xdr:from>
    <xdr:to>
      <xdr:col>9</xdr:col>
      <xdr:colOff>447675</xdr:colOff>
      <xdr:row>16</xdr:row>
      <xdr:rowOff>85725</xdr:rowOff>
    </xdr:to>
    <xdr:graphicFrame>
      <xdr:nvGraphicFramePr>
        <xdr:cNvPr id="9" name="Chart 59"/>
        <xdr:cNvGraphicFramePr/>
      </xdr:nvGraphicFramePr>
      <xdr:xfrm>
        <a:off x="2324100" y="114300"/>
        <a:ext cx="32385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200025</xdr:colOff>
      <xdr:row>70</xdr:row>
      <xdr:rowOff>28575</xdr:rowOff>
    </xdr:from>
    <xdr:to>
      <xdr:col>10</xdr:col>
      <xdr:colOff>485775</xdr:colOff>
      <xdr:row>85</xdr:row>
      <xdr:rowOff>142875</xdr:rowOff>
    </xdr:to>
    <xdr:sp>
      <xdr:nvSpPr>
        <xdr:cNvPr id="10" name="Straight Connector 2"/>
        <xdr:cNvSpPr>
          <a:spLocks/>
        </xdr:cNvSpPr>
      </xdr:nvSpPr>
      <xdr:spPr>
        <a:xfrm flipV="1">
          <a:off x="3495675" y="11258550"/>
          <a:ext cx="277177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67</xdr:row>
      <xdr:rowOff>85725</xdr:rowOff>
    </xdr:from>
    <xdr:to>
      <xdr:col>6</xdr:col>
      <xdr:colOff>457200</xdr:colOff>
      <xdr:row>86</xdr:row>
      <xdr:rowOff>9525</xdr:rowOff>
    </xdr:to>
    <xdr:sp>
      <xdr:nvSpPr>
        <xdr:cNvPr id="11" name="Straight Connector 4"/>
        <xdr:cNvSpPr>
          <a:spLocks/>
        </xdr:cNvSpPr>
      </xdr:nvSpPr>
      <xdr:spPr>
        <a:xfrm flipV="1">
          <a:off x="3752850" y="1082992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85</xdr:row>
      <xdr:rowOff>152400</xdr:rowOff>
    </xdr:from>
    <xdr:to>
      <xdr:col>11</xdr:col>
      <xdr:colOff>200025</xdr:colOff>
      <xdr:row>85</xdr:row>
      <xdr:rowOff>152400</xdr:rowOff>
    </xdr:to>
    <xdr:sp>
      <xdr:nvSpPr>
        <xdr:cNvPr id="12" name="Straight Connector 6"/>
        <xdr:cNvSpPr>
          <a:spLocks/>
        </xdr:cNvSpPr>
      </xdr:nvSpPr>
      <xdr:spPr>
        <a:xfrm>
          <a:off x="3790950" y="137922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79</xdr:row>
      <xdr:rowOff>152400</xdr:rowOff>
    </xdr:from>
    <xdr:to>
      <xdr:col>9</xdr:col>
      <xdr:colOff>581025</xdr:colOff>
      <xdr:row>79</xdr:row>
      <xdr:rowOff>152400</xdr:rowOff>
    </xdr:to>
    <xdr:sp>
      <xdr:nvSpPr>
        <xdr:cNvPr id="13" name="Straight Connector 8"/>
        <xdr:cNvSpPr>
          <a:spLocks/>
        </xdr:cNvSpPr>
      </xdr:nvSpPr>
      <xdr:spPr>
        <a:xfrm>
          <a:off x="4543425" y="128397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73</xdr:row>
      <xdr:rowOff>47625</xdr:rowOff>
    </xdr:from>
    <xdr:to>
      <xdr:col>9</xdr:col>
      <xdr:colOff>581025</xdr:colOff>
      <xdr:row>79</xdr:row>
      <xdr:rowOff>133350</xdr:rowOff>
    </xdr:to>
    <xdr:sp>
      <xdr:nvSpPr>
        <xdr:cNvPr id="14" name="Straight Connector 10"/>
        <xdr:cNvSpPr>
          <a:spLocks/>
        </xdr:cNvSpPr>
      </xdr:nvSpPr>
      <xdr:spPr>
        <a:xfrm flipV="1">
          <a:off x="5695950" y="117633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71</xdr:row>
      <xdr:rowOff>104775</xdr:rowOff>
    </xdr:from>
    <xdr:to>
      <xdr:col>10</xdr:col>
      <xdr:colOff>247650</xdr:colOff>
      <xdr:row>82</xdr:row>
      <xdr:rowOff>38100</xdr:rowOff>
    </xdr:to>
    <xdr:sp>
      <xdr:nvSpPr>
        <xdr:cNvPr id="15" name="Straight Connector 12"/>
        <xdr:cNvSpPr>
          <a:spLocks/>
        </xdr:cNvSpPr>
      </xdr:nvSpPr>
      <xdr:spPr>
        <a:xfrm>
          <a:off x="6029325" y="1149667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82</xdr:row>
      <xdr:rowOff>28575</xdr:rowOff>
    </xdr:from>
    <xdr:to>
      <xdr:col>10</xdr:col>
      <xdr:colOff>247650</xdr:colOff>
      <xdr:row>82</xdr:row>
      <xdr:rowOff>28575</xdr:rowOff>
    </xdr:to>
    <xdr:sp>
      <xdr:nvSpPr>
        <xdr:cNvPr id="16" name="Straight Connector 14"/>
        <xdr:cNvSpPr>
          <a:spLocks/>
        </xdr:cNvSpPr>
      </xdr:nvSpPr>
      <xdr:spPr>
        <a:xfrm flipH="1">
          <a:off x="4105275" y="13192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57150</xdr:rowOff>
    </xdr:from>
    <xdr:to>
      <xdr:col>7</xdr:col>
      <xdr:colOff>523875</xdr:colOff>
      <xdr:row>61</xdr:row>
      <xdr:rowOff>76200</xdr:rowOff>
    </xdr:to>
    <xdr:grpSp>
      <xdr:nvGrpSpPr>
        <xdr:cNvPr id="1" name="Group 52"/>
        <xdr:cNvGrpSpPr>
          <a:grpSpLocks/>
        </xdr:cNvGrpSpPr>
      </xdr:nvGrpSpPr>
      <xdr:grpSpPr>
        <a:xfrm>
          <a:off x="123825" y="5200650"/>
          <a:ext cx="4667250" cy="4714875"/>
          <a:chOff x="16" y="713"/>
          <a:chExt cx="613" cy="639"/>
        </a:xfrm>
        <a:solidFill>
          <a:srgbClr val="FFFFFF"/>
        </a:solidFill>
      </xdr:grpSpPr>
      <xdr:sp>
        <xdr:nvSpPr>
          <xdr:cNvPr id="2" name="Text Box 26"/>
          <xdr:cNvSpPr txBox="1">
            <a:spLocks noChangeArrowheads="1"/>
          </xdr:cNvSpPr>
        </xdr:nvSpPr>
        <xdr:spPr>
          <a:xfrm>
            <a:off x="261" y="713"/>
            <a:ext cx="51" cy="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0" i="1" u="none" baseline="-2500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tg</a:t>
            </a:r>
          </a:p>
        </xdr:txBody>
      </xdr:sp>
      <xdr:sp>
        <xdr:nvSpPr>
          <xdr:cNvPr id="3" name="Text Box 41"/>
          <xdr:cNvSpPr txBox="1">
            <a:spLocks noChangeArrowheads="1"/>
          </xdr:cNvSpPr>
        </xdr:nvSpPr>
        <xdr:spPr>
          <a:xfrm>
            <a:off x="16" y="1062"/>
            <a:ext cx="113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Verbal Ability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Test Score</a:t>
            </a:r>
          </a:p>
        </xdr:txBody>
      </xdr:sp>
      <xdr:sp>
        <xdr:nvSpPr>
          <xdr:cNvPr id="4" name="Oval 10"/>
          <xdr:cNvSpPr>
            <a:spLocks/>
          </xdr:cNvSpPr>
        </xdr:nvSpPr>
        <xdr:spPr>
          <a:xfrm>
            <a:off x="128" y="812"/>
            <a:ext cx="67" cy="6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1"/>
          <xdr:cNvSpPr>
            <a:spLocks/>
          </xdr:cNvSpPr>
        </xdr:nvSpPr>
        <xdr:spPr>
          <a:xfrm>
            <a:off x="366" y="813"/>
            <a:ext cx="67" cy="6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2"/>
          <xdr:cNvSpPr txBox="1">
            <a:spLocks noChangeArrowheads="1"/>
          </xdr:cNvSpPr>
        </xdr:nvSpPr>
        <xdr:spPr>
          <a:xfrm>
            <a:off x="150" y="825"/>
            <a:ext cx="33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7" name="Text Box 13"/>
          <xdr:cNvSpPr txBox="1">
            <a:spLocks noChangeArrowheads="1"/>
          </xdr:cNvSpPr>
        </xdr:nvSpPr>
        <xdr:spPr>
          <a:xfrm>
            <a:off x="388" y="827"/>
            <a:ext cx="30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g</a:t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>
            <a:off x="160" y="88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402" y="882"/>
            <a:ext cx="0" cy="1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6"/>
          <xdr:cNvSpPr>
            <a:spLocks/>
          </xdr:cNvSpPr>
        </xdr:nvSpPr>
        <xdr:spPr>
          <a:xfrm>
            <a:off x="129" y="1057"/>
            <a:ext cx="64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7"/>
          <xdr:cNvSpPr>
            <a:spLocks/>
          </xdr:cNvSpPr>
        </xdr:nvSpPr>
        <xdr:spPr>
          <a:xfrm>
            <a:off x="371" y="1057"/>
            <a:ext cx="60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rot="5400000" flipV="1">
            <a:off x="280" y="695"/>
            <a:ext cx="1" cy="238"/>
          </a:xfrm>
          <a:prstGeom prst="curvedConnector3">
            <a:avLst>
              <a:gd name="adj" fmla="val -5650000"/>
            </a:avLst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9"/>
          <xdr:cNvSpPr>
            <a:spLocks/>
          </xdr:cNvSpPr>
        </xdr:nvSpPr>
        <xdr:spPr>
          <a:xfrm rot="5400000" flipV="1">
            <a:off x="279" y="940"/>
            <a:ext cx="1" cy="238"/>
          </a:xfrm>
          <a:prstGeom prst="curvedConnector3">
            <a:avLst>
              <a:gd name="adj" fmla="val -6350000"/>
            </a:avLst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20"/>
          <xdr:cNvSpPr txBox="1">
            <a:spLocks noChangeArrowheads="1"/>
          </xdr:cNvSpPr>
        </xdr:nvSpPr>
        <xdr:spPr>
          <a:xfrm>
            <a:off x="142" y="1069"/>
            <a:ext cx="3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5" name="Text Box 21"/>
          <xdr:cNvSpPr txBox="1">
            <a:spLocks noChangeArrowheads="1"/>
          </xdr:cNvSpPr>
        </xdr:nvSpPr>
        <xdr:spPr>
          <a:xfrm>
            <a:off x="389" y="1069"/>
            <a:ext cx="31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Y</a:t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 flipV="1">
            <a:off x="159" y="111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 flipH="1" flipV="1">
            <a:off x="399" y="1113"/>
            <a:ext cx="1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4"/>
          <xdr:cNvSpPr txBox="1">
            <a:spLocks noChangeArrowheads="1"/>
          </xdr:cNvSpPr>
        </xdr:nvSpPr>
        <xdr:spPr>
          <a:xfrm>
            <a:off x="149" y="1142"/>
            <a:ext cx="49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</a:t>
            </a:r>
            <a:r>
              <a:rPr lang="en-US" cap="none" sz="14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19" name="Text Box 25"/>
          <xdr:cNvSpPr txBox="1">
            <a:spLocks noChangeArrowheads="1"/>
          </xdr:cNvSpPr>
        </xdr:nvSpPr>
        <xdr:spPr>
          <a:xfrm>
            <a:off x="388" y="1136"/>
            <a:ext cx="50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</a:t>
            </a:r>
            <a:r>
              <a:rPr lang="en-US" cap="none" sz="14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20" name="Text Box 27"/>
          <xdr:cNvSpPr txBox="1">
            <a:spLocks noChangeArrowheads="1"/>
          </xdr:cNvSpPr>
        </xdr:nvSpPr>
        <xdr:spPr>
          <a:xfrm>
            <a:off x="260" y="949"/>
            <a:ext cx="58" cy="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XY</a:t>
            </a:r>
          </a:p>
        </xdr:txBody>
      </xdr:sp>
      <xdr:sp>
        <xdr:nvSpPr>
          <xdr:cNvPr id="21" name="Text Box 29"/>
          <xdr:cNvSpPr txBox="1">
            <a:spLocks noChangeArrowheads="1"/>
          </xdr:cNvSpPr>
        </xdr:nvSpPr>
        <xdr:spPr>
          <a:xfrm>
            <a:off x="443" y="823"/>
            <a:ext cx="18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Latent or Unobservable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Variable</a:t>
            </a:r>
          </a:p>
        </xdr:txBody>
      </xdr:sp>
      <xdr:sp>
        <xdr:nvSpPr>
          <xdr:cNvPr id="22" name="Text Box 30"/>
          <xdr:cNvSpPr txBox="1">
            <a:spLocks noChangeArrowheads="1"/>
          </xdr:cNvSpPr>
        </xdr:nvSpPr>
        <xdr:spPr>
          <a:xfrm>
            <a:off x="445" y="1056"/>
            <a:ext cx="184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Manifest or Observable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Variable</a:t>
            </a:r>
          </a:p>
        </xdr:txBody>
      </xdr:sp>
      <xdr:sp>
        <xdr:nvSpPr>
          <xdr:cNvPr id="23" name="Freeform 31"/>
          <xdr:cNvSpPr>
            <a:spLocks/>
          </xdr:cNvSpPr>
        </xdr:nvSpPr>
        <xdr:spPr>
          <a:xfrm>
            <a:off x="420" y="792"/>
            <a:ext cx="75" cy="30"/>
          </a:xfrm>
          <a:custGeom>
            <a:pathLst>
              <a:path h="30" w="75">
                <a:moveTo>
                  <a:pt x="75" y="30"/>
                </a:moveTo>
                <a:cubicBezTo>
                  <a:pt x="67" y="25"/>
                  <a:pt x="39" y="0"/>
                  <a:pt x="27" y="0"/>
                </a:cubicBezTo>
                <a:cubicBezTo>
                  <a:pt x="14" y="0"/>
                  <a:pt x="6" y="23"/>
                  <a:pt x="0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2"/>
          <xdr:cNvSpPr>
            <a:spLocks/>
          </xdr:cNvSpPr>
        </xdr:nvSpPr>
        <xdr:spPr>
          <a:xfrm>
            <a:off x="466" y="72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8"/>
          <xdr:cNvSpPr>
            <a:spLocks/>
          </xdr:cNvSpPr>
        </xdr:nvSpPr>
        <xdr:spPr>
          <a:xfrm>
            <a:off x="426" y="1025"/>
            <a:ext cx="75" cy="30"/>
          </a:xfrm>
          <a:custGeom>
            <a:pathLst>
              <a:path h="30" w="75">
                <a:moveTo>
                  <a:pt x="75" y="30"/>
                </a:moveTo>
                <a:cubicBezTo>
                  <a:pt x="67" y="25"/>
                  <a:pt x="39" y="0"/>
                  <a:pt x="27" y="0"/>
                </a:cubicBezTo>
                <a:cubicBezTo>
                  <a:pt x="14" y="0"/>
                  <a:pt x="6" y="23"/>
                  <a:pt x="0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39"/>
          <xdr:cNvSpPr txBox="1">
            <a:spLocks noChangeArrowheads="1"/>
          </xdr:cNvSpPr>
        </xdr:nvSpPr>
        <xdr:spPr>
          <a:xfrm>
            <a:off x="31" y="824"/>
            <a:ext cx="101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True Verbal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Ability</a:t>
            </a:r>
          </a:p>
        </xdr:txBody>
      </xdr:sp>
      <xdr:sp>
        <xdr:nvSpPr>
          <xdr:cNvPr id="27" name="Text Box 40"/>
          <xdr:cNvSpPr txBox="1">
            <a:spLocks noChangeArrowheads="1"/>
          </xdr:cNvSpPr>
        </xdr:nvSpPr>
        <xdr:spPr>
          <a:xfrm>
            <a:off x="242" y="827"/>
            <a:ext cx="133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True Numerical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Ability</a:t>
            </a:r>
          </a:p>
        </xdr:txBody>
      </xdr:sp>
      <xdr:sp>
        <xdr:nvSpPr>
          <xdr:cNvPr id="28" name="Text Box 42"/>
          <xdr:cNvSpPr txBox="1">
            <a:spLocks noChangeArrowheads="1"/>
          </xdr:cNvSpPr>
        </xdr:nvSpPr>
        <xdr:spPr>
          <a:xfrm>
            <a:off x="232" y="1058"/>
            <a:ext cx="140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Numerical Ability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Test Score</a:t>
            </a:r>
          </a:p>
        </xdr:txBody>
      </xdr:sp>
      <xdr:sp>
        <xdr:nvSpPr>
          <xdr:cNvPr id="29" name="Text Box 43"/>
          <xdr:cNvSpPr txBox="1">
            <a:spLocks noChangeArrowheads="1"/>
          </xdr:cNvSpPr>
        </xdr:nvSpPr>
        <xdr:spPr>
          <a:xfrm>
            <a:off x="200" y="1174"/>
            <a:ext cx="173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Measurement Errors
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or 'Noise'</a:t>
            </a:r>
          </a:p>
        </xdr:txBody>
      </xdr:sp>
      <xdr:sp>
        <xdr:nvSpPr>
          <xdr:cNvPr id="30" name="Freeform 44"/>
          <xdr:cNvSpPr>
            <a:spLocks/>
          </xdr:cNvSpPr>
        </xdr:nvSpPr>
        <xdr:spPr>
          <a:xfrm rot="1970167" flipV="1">
            <a:off x="158" y="1195"/>
            <a:ext cx="61" cy="13"/>
          </a:xfrm>
          <a:custGeom>
            <a:pathLst>
              <a:path h="30" w="75">
                <a:moveTo>
                  <a:pt x="75" y="30"/>
                </a:moveTo>
                <a:cubicBezTo>
                  <a:pt x="67" y="25"/>
                  <a:pt x="39" y="0"/>
                  <a:pt x="27" y="0"/>
                </a:cubicBezTo>
                <a:cubicBezTo>
                  <a:pt x="14" y="0"/>
                  <a:pt x="6" y="23"/>
                  <a:pt x="0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45"/>
          <xdr:cNvSpPr>
            <a:spLocks/>
          </xdr:cNvSpPr>
        </xdr:nvSpPr>
        <xdr:spPr>
          <a:xfrm rot="8606009">
            <a:off x="343" y="1187"/>
            <a:ext cx="63" cy="17"/>
          </a:xfrm>
          <a:custGeom>
            <a:pathLst>
              <a:path h="30" w="75">
                <a:moveTo>
                  <a:pt x="75" y="30"/>
                </a:moveTo>
                <a:cubicBezTo>
                  <a:pt x="67" y="25"/>
                  <a:pt x="39" y="0"/>
                  <a:pt x="27" y="0"/>
                </a:cubicBezTo>
                <a:cubicBezTo>
                  <a:pt x="14" y="0"/>
                  <a:pt x="6" y="23"/>
                  <a:pt x="0" y="2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47"/>
          <xdr:cNvSpPr txBox="1">
            <a:spLocks noChangeArrowheads="1"/>
          </xdr:cNvSpPr>
        </xdr:nvSpPr>
        <xdr:spPr>
          <a:xfrm>
            <a:off x="142" y="1249"/>
            <a:ext cx="290" cy="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Classical Test Score Model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 = </a:t>
            </a:r>
            <a:r>
              <a:rPr lang="en-US" cap="none" sz="1200" b="0" i="1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t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+ e</a:t>
            </a:r>
            <a:r>
              <a:rPr lang="en-US" cap="none" sz="12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Y = </a:t>
            </a:r>
            <a:r>
              <a:rPr lang="en-US" cap="none" sz="1200" b="0" i="1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g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+ e</a:t>
            </a:r>
            <a:r>
              <a:rPr lang="en-US" cap="none" sz="12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0.8595</cdr:y>
    </cdr:from>
    <cdr:to>
      <cdr:x>0.59225</cdr:x>
      <cdr:y>0.8845</cdr:y>
    </cdr:to>
    <cdr:sp>
      <cdr:nvSpPr>
        <cdr:cNvPr id="1" name="AutoShape 1"/>
        <cdr:cNvSpPr>
          <a:spLocks/>
        </cdr:cNvSpPr>
      </cdr:nvSpPr>
      <cdr:spPr>
        <a:xfrm>
          <a:off x="2257425" y="2667000"/>
          <a:ext cx="123825" cy="762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0.31025</cdr:y>
    </cdr:from>
    <cdr:to>
      <cdr:x>0.375</cdr:x>
      <cdr:y>0.365</cdr:y>
    </cdr:to>
    <cdr:sp>
      <cdr:nvSpPr>
        <cdr:cNvPr id="2" name="AutoShape 2"/>
        <cdr:cNvSpPr>
          <a:spLocks/>
        </cdr:cNvSpPr>
      </cdr:nvSpPr>
      <cdr:spPr>
        <a:xfrm>
          <a:off x="800100" y="962025"/>
          <a:ext cx="704850" cy="171450"/>
        </a:xfrm>
        <a:prstGeom prst="wedgeRectCallout">
          <a:avLst>
            <a:gd name="adj1" fmla="val 164310"/>
            <a:gd name="adj2" fmla="val 932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0.7105</cdr:x>
      <cdr:y>0.49975</cdr:y>
    </cdr:from>
    <cdr:to>
      <cdr:x>0.7105</cdr:x>
      <cdr:y>0.86025</cdr:y>
    </cdr:to>
    <cdr:sp>
      <cdr:nvSpPr>
        <cdr:cNvPr id="3" name="Line 3"/>
        <cdr:cNvSpPr>
          <a:spLocks/>
        </cdr:cNvSpPr>
      </cdr:nvSpPr>
      <cdr:spPr>
        <a:xfrm flipV="1">
          <a:off x="2847975" y="15430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</cdr:x>
      <cdr:y>0.2805</cdr:y>
    </cdr:from>
    <cdr:to>
      <cdr:x>0.57775</cdr:x>
      <cdr:y>0.8595</cdr:y>
    </cdr:to>
    <cdr:sp>
      <cdr:nvSpPr>
        <cdr:cNvPr id="4" name="Line 4"/>
        <cdr:cNvSpPr>
          <a:spLocks/>
        </cdr:cNvSpPr>
      </cdr:nvSpPr>
      <cdr:spPr>
        <a:xfrm flipV="1">
          <a:off x="2314575" y="8667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0.57625</cdr:x>
      <cdr:y>0.7695</cdr:y>
    </cdr:from>
    <cdr:to>
      <cdr:x>0.70975</cdr:x>
      <cdr:y>0.7695</cdr:y>
    </cdr:to>
    <cdr:sp>
      <cdr:nvSpPr>
        <cdr:cNvPr id="5" name="Line 5"/>
        <cdr:cNvSpPr>
          <a:spLocks/>
        </cdr:cNvSpPr>
      </cdr:nvSpPr>
      <cdr:spPr>
        <a:xfrm flipV="1">
          <a:off x="2314575" y="2381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0.93275</cdr:y>
    </cdr:from>
    <cdr:to>
      <cdr:x>0.634</cdr:x>
      <cdr:y>0.93275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43175" y="28956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0.81425</cdr:x>
      <cdr:y>0.49925</cdr:y>
    </cdr:from>
    <cdr:to>
      <cdr:x>0.8705</cdr:x>
      <cdr:y>0.57975</cdr:y>
    </cdr:to>
    <cdr:sp>
      <cdr:nvSpPr>
        <cdr:cNvPr id="7" name="AutoShape 7"/>
        <cdr:cNvSpPr>
          <a:spLocks/>
        </cdr:cNvSpPr>
      </cdr:nvSpPr>
      <cdr:spPr>
        <a:xfrm>
          <a:off x="3267075" y="1543050"/>
          <a:ext cx="228600" cy="247650"/>
        </a:xfrm>
        <a:prstGeom prst="wedgeRectCallout">
          <a:avLst>
            <a:gd name="adj1" fmla="val -369314"/>
            <a:gd name="adj2" fmla="val 273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0.8495</cdr:y>
    </cdr:from>
    <cdr:to>
      <cdr:x>0.59625</cdr:x>
      <cdr:y>0.87625</cdr:y>
    </cdr:to>
    <cdr:sp>
      <cdr:nvSpPr>
        <cdr:cNvPr id="1" name="AutoShape 1"/>
        <cdr:cNvSpPr>
          <a:spLocks/>
        </cdr:cNvSpPr>
      </cdr:nvSpPr>
      <cdr:spPr>
        <a:xfrm>
          <a:off x="2266950" y="2466975"/>
          <a:ext cx="123825" cy="76200"/>
        </a:xfrm>
        <a:prstGeom prst="triangle">
          <a:avLst>
            <a:gd name="adj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0.3215</cdr:y>
    </cdr:from>
    <cdr:to>
      <cdr:x>0.379</cdr:x>
      <cdr:y>0.38575</cdr:y>
    </cdr:to>
    <cdr:sp>
      <cdr:nvSpPr>
        <cdr:cNvPr id="2" name="AutoShape 2"/>
        <cdr:cNvSpPr>
          <a:spLocks/>
        </cdr:cNvSpPr>
      </cdr:nvSpPr>
      <cdr:spPr>
        <a:xfrm>
          <a:off x="809625" y="933450"/>
          <a:ext cx="704850" cy="190500"/>
        </a:xfrm>
        <a:prstGeom prst="wedgeRectCallout">
          <a:avLst>
            <a:gd name="adj1" fmla="val 164310"/>
            <a:gd name="adj2" fmla="val 756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g</a:t>
          </a:r>
        </a:p>
      </cdr:txBody>
    </cdr:sp>
  </cdr:relSizeAnchor>
  <cdr:relSizeAnchor xmlns:cdr="http://schemas.openxmlformats.org/drawingml/2006/chartDrawing">
    <cdr:from>
      <cdr:x>0.7135</cdr:x>
      <cdr:y>0.503</cdr:y>
    </cdr:from>
    <cdr:to>
      <cdr:x>0.7135</cdr:x>
      <cdr:y>0.85025</cdr:y>
    </cdr:to>
    <cdr:sp>
      <cdr:nvSpPr>
        <cdr:cNvPr id="3" name="Line 3"/>
        <cdr:cNvSpPr>
          <a:spLocks/>
        </cdr:cNvSpPr>
      </cdr:nvSpPr>
      <cdr:spPr>
        <a:xfrm flipV="1">
          <a:off x="2867025" y="14573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0.292</cdr:y>
    </cdr:from>
    <cdr:to>
      <cdr:x>0.58175</cdr:x>
      <cdr:y>0.8495</cdr:y>
    </cdr:to>
    <cdr:sp>
      <cdr:nvSpPr>
        <cdr:cNvPr id="4" name="Line 4"/>
        <cdr:cNvSpPr>
          <a:spLocks/>
        </cdr:cNvSpPr>
      </cdr:nvSpPr>
      <cdr:spPr>
        <a:xfrm flipV="1">
          <a:off x="2333625" y="8477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0.7625</cdr:y>
    </cdr:from>
    <cdr:to>
      <cdr:x>0.7135</cdr:x>
      <cdr:y>0.763</cdr:y>
    </cdr:to>
    <cdr:sp>
      <cdr:nvSpPr>
        <cdr:cNvPr id="5" name="Line 5"/>
        <cdr:cNvSpPr>
          <a:spLocks/>
        </cdr:cNvSpPr>
      </cdr:nvSpPr>
      <cdr:spPr>
        <a:xfrm flipV="1">
          <a:off x="2333625" y="2219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0.92825</cdr:y>
    </cdr:from>
    <cdr:to>
      <cdr:x>0.638</cdr:x>
      <cdr:y>0.92825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62225" y="27051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0.81725</cdr:x>
      <cdr:y>0.50225</cdr:y>
    </cdr:from>
    <cdr:to>
      <cdr:x>0.87375</cdr:x>
      <cdr:y>0.5795</cdr:y>
    </cdr:to>
    <cdr:sp>
      <cdr:nvSpPr>
        <cdr:cNvPr id="7" name="AutoShape 7"/>
        <cdr:cNvSpPr>
          <a:spLocks/>
        </cdr:cNvSpPr>
      </cdr:nvSpPr>
      <cdr:spPr>
        <a:xfrm>
          <a:off x="3276600" y="1457325"/>
          <a:ext cx="228600" cy="228600"/>
        </a:xfrm>
        <a:prstGeom prst="wedgeRectCallout">
          <a:avLst>
            <a:gd name="adj1" fmla="val -369314"/>
            <a:gd name="adj2" fmla="val 273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0.221</cdr:y>
    </cdr:from>
    <cdr:to>
      <cdr:x>0.878</cdr:x>
      <cdr:y>0.392</cdr:y>
    </cdr:to>
    <cdr:sp>
      <cdr:nvSpPr>
        <cdr:cNvPr id="1" name="Line 4"/>
        <cdr:cNvSpPr>
          <a:spLocks/>
        </cdr:cNvSpPr>
      </cdr:nvSpPr>
      <cdr:spPr>
        <a:xfrm flipV="1">
          <a:off x="523875" y="609600"/>
          <a:ext cx="3581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0.23425</cdr:y>
    </cdr:from>
    <cdr:to>
      <cdr:x>0.818</cdr:x>
      <cdr:y>0.392</cdr:y>
    </cdr:to>
    <cdr:sp>
      <cdr:nvSpPr>
        <cdr:cNvPr id="2" name="Freeform 6"/>
        <cdr:cNvSpPr>
          <a:spLocks/>
        </cdr:cNvSpPr>
      </cdr:nvSpPr>
      <cdr:spPr>
        <a:xfrm>
          <a:off x="523875" y="647700"/>
          <a:ext cx="3305175" cy="438150"/>
        </a:xfrm>
        <a:custGeom>
          <a:pathLst>
            <a:path h="449580" w="3246120">
              <a:moveTo>
                <a:pt x="0" y="449580"/>
              </a:moveTo>
              <a:lnTo>
                <a:pt x="3246120" y="449580"/>
              </a:lnTo>
              <a:lnTo>
                <a:pt x="3246120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47625</xdr:rowOff>
    </xdr:from>
    <xdr:to>
      <xdr:col>6</xdr:col>
      <xdr:colOff>542925</xdr:colOff>
      <xdr:row>79</xdr:row>
      <xdr:rowOff>95250</xdr:rowOff>
    </xdr:to>
    <xdr:graphicFrame>
      <xdr:nvGraphicFramePr>
        <xdr:cNvPr id="1" name="Chart 1"/>
        <xdr:cNvGraphicFramePr/>
      </xdr:nvGraphicFramePr>
      <xdr:xfrm>
        <a:off x="180975" y="10048875"/>
        <a:ext cx="4019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82</xdr:row>
      <xdr:rowOff>0</xdr:rowOff>
    </xdr:from>
    <xdr:to>
      <xdr:col>6</xdr:col>
      <xdr:colOff>600075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238125" y="13544550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114300</xdr:rowOff>
    </xdr:from>
    <xdr:to>
      <xdr:col>6</xdr:col>
      <xdr:colOff>400050</xdr:colOff>
      <xdr:row>46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0"/>
          <a:ext cx="38766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175</xdr:row>
      <xdr:rowOff>142875</xdr:rowOff>
    </xdr:from>
    <xdr:to>
      <xdr:col>8</xdr:col>
      <xdr:colOff>95250</xdr:colOff>
      <xdr:row>193</xdr:row>
      <xdr:rowOff>19050</xdr:rowOff>
    </xdr:to>
    <xdr:graphicFrame>
      <xdr:nvGraphicFramePr>
        <xdr:cNvPr id="4" name="Chart 16"/>
        <xdr:cNvGraphicFramePr/>
      </xdr:nvGraphicFramePr>
      <xdr:xfrm>
        <a:off x="285750" y="28927425"/>
        <a:ext cx="46863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27</xdr:row>
      <xdr:rowOff>95250</xdr:rowOff>
    </xdr:from>
    <xdr:to>
      <xdr:col>6</xdr:col>
      <xdr:colOff>285750</xdr:colOff>
      <xdr:row>43</xdr:row>
      <xdr:rowOff>152400</xdr:rowOff>
    </xdr:to>
    <xdr:sp>
      <xdr:nvSpPr>
        <xdr:cNvPr id="5" name="Straight Connector 2"/>
        <xdr:cNvSpPr>
          <a:spLocks/>
        </xdr:cNvSpPr>
      </xdr:nvSpPr>
      <xdr:spPr>
        <a:xfrm flipV="1">
          <a:off x="600075" y="4467225"/>
          <a:ext cx="334327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28</xdr:row>
      <xdr:rowOff>57150</xdr:rowOff>
    </xdr:from>
    <xdr:to>
      <xdr:col>6</xdr:col>
      <xdr:colOff>304800</xdr:colOff>
      <xdr:row>42</xdr:row>
      <xdr:rowOff>161925</xdr:rowOff>
    </xdr:to>
    <xdr:sp>
      <xdr:nvSpPr>
        <xdr:cNvPr id="6" name="Straight Connector 4"/>
        <xdr:cNvSpPr>
          <a:spLocks/>
        </xdr:cNvSpPr>
      </xdr:nvSpPr>
      <xdr:spPr>
        <a:xfrm flipV="1">
          <a:off x="552450" y="4591050"/>
          <a:ext cx="34099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4.x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315ptbis.JMP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oleObject" Target="../embeddings/oleObject_4_3.bin" /><Relationship Id="rId6" Type="http://schemas.openxmlformats.org/officeDocument/2006/relationships/oleObject" Target="../embeddings/oleObject_4_4.bin" /><Relationship Id="rId7" Type="http://schemas.openxmlformats.org/officeDocument/2006/relationships/oleObject" Target="../embeddings/oleObject_4_5.bin" /><Relationship Id="rId8" Type="http://schemas.openxmlformats.org/officeDocument/2006/relationships/oleObject" Target="../embeddings/oleObject_4_6.bin" /><Relationship Id="rId9" Type="http://schemas.openxmlformats.org/officeDocument/2006/relationships/oleObject" Target="../embeddings/oleObject_4_7.bin" /><Relationship Id="rId10" Type="http://schemas.openxmlformats.org/officeDocument/2006/relationships/oleObject" Target="../embeddings/oleObject_4_8.bin" /><Relationship Id="rId11" Type="http://schemas.openxmlformats.org/officeDocument/2006/relationships/oleObject" Target="../embeddings/oleObject_4_9.bin" /><Relationship Id="rId12" Type="http://schemas.openxmlformats.org/officeDocument/2006/relationships/oleObject" Target="../embeddings/oleObject_4_10.bin" /><Relationship Id="rId13" Type="http://schemas.openxmlformats.org/officeDocument/2006/relationships/oleObject" Target="../embeddings/oleObject_4_11.bin" /><Relationship Id="rId14" Type="http://schemas.openxmlformats.org/officeDocument/2006/relationships/vmlDrawing" Target="../drawings/vmlDrawing5.v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oleObject" Target="../embeddings/oleObject_6_17.bin" /><Relationship Id="rId19" Type="http://schemas.openxmlformats.org/officeDocument/2006/relationships/oleObject" Target="../embeddings/oleObject_6_18.bin" /><Relationship Id="rId20" Type="http://schemas.openxmlformats.org/officeDocument/2006/relationships/oleObject" Target="../embeddings/oleObject_6_19.bin" /><Relationship Id="rId21" Type="http://schemas.openxmlformats.org/officeDocument/2006/relationships/oleObject" Target="../embeddings/oleObject_6_20.bin" /><Relationship Id="rId22" Type="http://schemas.openxmlformats.org/officeDocument/2006/relationships/oleObject" Target="../embeddings/oleObject_6_21.bin" /><Relationship Id="rId23" Type="http://schemas.openxmlformats.org/officeDocument/2006/relationships/oleObject" Target="../embeddings/oleObject_6_22.bin" /><Relationship Id="rId24" Type="http://schemas.openxmlformats.org/officeDocument/2006/relationships/oleObject" Target="../embeddings/oleObject_6_23.bin" /><Relationship Id="rId25" Type="http://schemas.openxmlformats.org/officeDocument/2006/relationships/oleObject" Target="../embeddings/oleObject_6_24.bin" /><Relationship Id="rId26" Type="http://schemas.openxmlformats.org/officeDocument/2006/relationships/oleObject" Target="../embeddings/oleObject_6_25.bin" /><Relationship Id="rId27" Type="http://schemas.openxmlformats.org/officeDocument/2006/relationships/oleObject" Target="../embeddings/oleObject_6_26.bin" /><Relationship Id="rId28" Type="http://schemas.openxmlformats.org/officeDocument/2006/relationships/oleObject" Target="../embeddings/oleObject_6_27.bin" /><Relationship Id="rId29" Type="http://schemas.openxmlformats.org/officeDocument/2006/relationships/oleObject" Target="../embeddings/oleObject_6_28.bin" /><Relationship Id="rId30" Type="http://schemas.openxmlformats.org/officeDocument/2006/relationships/oleObject" Target="../embeddings/oleObject_6_29.bin" /><Relationship Id="rId31" Type="http://schemas.openxmlformats.org/officeDocument/2006/relationships/oleObject" Target="../embeddings/oleObject_6_30.bin" /><Relationship Id="rId32" Type="http://schemas.openxmlformats.org/officeDocument/2006/relationships/oleObject" Target="../embeddings/oleObject_6_31.bin" /><Relationship Id="rId33" Type="http://schemas.openxmlformats.org/officeDocument/2006/relationships/oleObject" Target="../embeddings/oleObject_6_32.bin" /><Relationship Id="rId34" Type="http://schemas.openxmlformats.org/officeDocument/2006/relationships/oleObject" Target="../embeddings/oleObject_6_33.bin" /><Relationship Id="rId35" Type="http://schemas.openxmlformats.org/officeDocument/2006/relationships/oleObject" Target="../embeddings/oleObject_6_34.bin" /><Relationship Id="rId36" Type="http://schemas.openxmlformats.org/officeDocument/2006/relationships/oleObject" Target="../embeddings/oleObject_6_35.bin" /><Relationship Id="rId37" Type="http://schemas.openxmlformats.org/officeDocument/2006/relationships/oleObject" Target="../embeddings/oleObject_6_36.bin" /><Relationship Id="rId38" Type="http://schemas.openxmlformats.org/officeDocument/2006/relationships/oleObject" Target="../embeddings/oleObject_6_37.bin" /><Relationship Id="rId39" Type="http://schemas.openxmlformats.org/officeDocument/2006/relationships/oleObject" Target="../embeddings/oleObject_6_38.bin" /><Relationship Id="rId40" Type="http://schemas.openxmlformats.org/officeDocument/2006/relationships/oleObject" Target="../embeddings/oleObject_6_39.bin" /><Relationship Id="rId41" Type="http://schemas.openxmlformats.org/officeDocument/2006/relationships/oleObject" Target="../embeddings/oleObject_6_40.bin" /><Relationship Id="rId42" Type="http://schemas.openxmlformats.org/officeDocument/2006/relationships/oleObject" Target="../embeddings/oleObject_6_41.bin" /><Relationship Id="rId43" Type="http://schemas.openxmlformats.org/officeDocument/2006/relationships/oleObject" Target="../embeddings/oleObject_6_42.bin" /><Relationship Id="rId44" Type="http://schemas.openxmlformats.org/officeDocument/2006/relationships/oleObject" Target="../embeddings/oleObject_6_43.bin" /><Relationship Id="rId45" Type="http://schemas.openxmlformats.org/officeDocument/2006/relationships/oleObject" Target="../embeddings/oleObject_6_44.bin" /><Relationship Id="rId46" Type="http://schemas.openxmlformats.org/officeDocument/2006/relationships/oleObject" Target="../embeddings/oleObject_6_45.bin" /><Relationship Id="rId47" Type="http://schemas.openxmlformats.org/officeDocument/2006/relationships/oleObject" Target="../embeddings/oleObject_6_46.bin" /><Relationship Id="rId48" Type="http://schemas.openxmlformats.org/officeDocument/2006/relationships/oleObject" Target="../embeddings/oleObject_6_47.bin" /><Relationship Id="rId49" Type="http://schemas.openxmlformats.org/officeDocument/2006/relationships/oleObject" Target="../embeddings/oleObject_6_48.bin" /><Relationship Id="rId50" Type="http://schemas.openxmlformats.org/officeDocument/2006/relationships/oleObject" Target="../embeddings/oleObject_6_49.bin" /><Relationship Id="rId51" Type="http://schemas.openxmlformats.org/officeDocument/2006/relationships/oleObject" Target="../embeddings/oleObject_6_50.bin" /><Relationship Id="rId52" Type="http://schemas.openxmlformats.org/officeDocument/2006/relationships/oleObject" Target="../embeddings/oleObject_6_51.bin" /><Relationship Id="rId53" Type="http://schemas.openxmlformats.org/officeDocument/2006/relationships/oleObject" Target="../embeddings/oleObject_6_52.bin" /><Relationship Id="rId54" Type="http://schemas.openxmlformats.org/officeDocument/2006/relationships/oleObject" Target="../embeddings/oleObject_6_53.bin" /><Relationship Id="rId55" Type="http://schemas.openxmlformats.org/officeDocument/2006/relationships/oleObject" Target="../embeddings/oleObject_6_54.bin" /><Relationship Id="rId56" Type="http://schemas.openxmlformats.org/officeDocument/2006/relationships/oleObject" Target="../embeddings/oleObject_6_55.bin" /><Relationship Id="rId57" Type="http://schemas.openxmlformats.org/officeDocument/2006/relationships/oleObject" Target="../embeddings/oleObject_6_56.bin" /><Relationship Id="rId58" Type="http://schemas.openxmlformats.org/officeDocument/2006/relationships/oleObject" Target="../embeddings/oleObject_6_57.bin" /><Relationship Id="rId59" Type="http://schemas.openxmlformats.org/officeDocument/2006/relationships/oleObject" Target="../embeddings/oleObject_6_58.bin" /><Relationship Id="rId60" Type="http://schemas.openxmlformats.org/officeDocument/2006/relationships/oleObject" Target="../embeddings/oleObject_6_59.bin" /><Relationship Id="rId61" Type="http://schemas.openxmlformats.org/officeDocument/2006/relationships/oleObject" Target="../embeddings/oleObject_6_60.bin" /><Relationship Id="rId62" Type="http://schemas.openxmlformats.org/officeDocument/2006/relationships/oleObject" Target="../embeddings/oleObject_6_61.bin" /><Relationship Id="rId63" Type="http://schemas.openxmlformats.org/officeDocument/2006/relationships/oleObject" Target="../embeddings/oleObject_6_62.bin" /><Relationship Id="rId64" Type="http://schemas.openxmlformats.org/officeDocument/2006/relationships/oleObject" Target="../embeddings/oleObject_6_63.bin" /><Relationship Id="rId65" Type="http://schemas.openxmlformats.org/officeDocument/2006/relationships/oleObject" Target="../embeddings/oleObject_6_64.bin" /><Relationship Id="rId66" Type="http://schemas.openxmlformats.org/officeDocument/2006/relationships/oleObject" Target="../embeddings/oleObject_6_65.bin" /><Relationship Id="rId67" Type="http://schemas.openxmlformats.org/officeDocument/2006/relationships/oleObject" Target="../embeddings/oleObject_6_66.bin" /><Relationship Id="rId68" Type="http://schemas.openxmlformats.org/officeDocument/2006/relationships/oleObject" Target="../embeddings/oleObject_6_67.bin" /><Relationship Id="rId69" Type="http://schemas.openxmlformats.org/officeDocument/2006/relationships/oleObject" Target="../embeddings/oleObject_6_68.bin" /><Relationship Id="rId70" Type="http://schemas.openxmlformats.org/officeDocument/2006/relationships/oleObject" Target="../embeddings/oleObject_6_69.bin" /><Relationship Id="rId71" Type="http://schemas.openxmlformats.org/officeDocument/2006/relationships/vmlDrawing" Target="../drawings/vmlDrawing7.vml" /><Relationship Id="rId7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11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7" max="7" width="9.00390625" style="0" customWidth="1"/>
    <col min="10" max="10" width="10.00390625" style="0" customWidth="1"/>
  </cols>
  <sheetData>
    <row r="2" spans="2:8" ht="12">
      <c r="B2" s="1" t="s">
        <v>4</v>
      </c>
      <c r="C2" s="1" t="s">
        <v>5</v>
      </c>
      <c r="D2" s="1"/>
      <c r="E2" s="1"/>
      <c r="F2" s="1"/>
      <c r="G2" s="1"/>
      <c r="H2" s="1"/>
    </row>
    <row r="3" spans="2:8" ht="12">
      <c r="B3" s="1" t="s">
        <v>0</v>
      </c>
      <c r="C3" s="1" t="s">
        <v>1</v>
      </c>
      <c r="D3" s="1"/>
      <c r="E3" s="1"/>
      <c r="F3" s="1"/>
      <c r="G3" s="1"/>
      <c r="H3" s="1"/>
    </row>
    <row r="4" spans="2:8" ht="12.75" thickBot="1">
      <c r="B4" s="1" t="s">
        <v>2</v>
      </c>
      <c r="C4" s="1" t="s">
        <v>3</v>
      </c>
      <c r="D4" s="1"/>
      <c r="E4" s="1"/>
      <c r="F4" s="1"/>
      <c r="G4" s="1"/>
      <c r="H4" s="1"/>
    </row>
    <row r="5" spans="1:3" ht="12">
      <c r="A5" t="s">
        <v>165</v>
      </c>
      <c r="B5" s="48">
        <v>66</v>
      </c>
      <c r="C5" s="49">
        <v>145</v>
      </c>
    </row>
    <row r="6" spans="1:3" ht="12">
      <c r="A6" t="s">
        <v>166</v>
      </c>
      <c r="B6" s="50">
        <v>72</v>
      </c>
      <c r="C6" s="51">
        <v>200</v>
      </c>
    </row>
    <row r="7" spans="1:3" ht="12">
      <c r="A7" t="s">
        <v>167</v>
      </c>
      <c r="B7" s="50">
        <v>68</v>
      </c>
      <c r="C7" s="51">
        <v>130</v>
      </c>
    </row>
    <row r="8" spans="1:3" ht="12">
      <c r="A8" t="s">
        <v>168</v>
      </c>
      <c r="B8" s="50">
        <v>70</v>
      </c>
      <c r="C8" s="51">
        <v>175</v>
      </c>
    </row>
    <row r="9" spans="1:3" ht="12">
      <c r="A9" t="s">
        <v>169</v>
      </c>
      <c r="B9" s="50">
        <v>71</v>
      </c>
      <c r="C9" s="51">
        <v>155</v>
      </c>
    </row>
    <row r="10" spans="1:3" ht="12">
      <c r="A10" t="s">
        <v>170</v>
      </c>
      <c r="B10" s="50">
        <v>71</v>
      </c>
      <c r="C10" s="51">
        <v>182</v>
      </c>
    </row>
    <row r="11" spans="1:3" ht="12.75" thickBot="1">
      <c r="A11" t="s">
        <v>171</v>
      </c>
      <c r="B11" s="52">
        <v>67</v>
      </c>
      <c r="C11" s="53">
        <v>157</v>
      </c>
    </row>
    <row r="18" spans="1:6" ht="12">
      <c r="A18" s="3"/>
      <c r="B18" s="3"/>
      <c r="C18" s="3"/>
      <c r="D18" s="3"/>
      <c r="E18" s="3"/>
      <c r="F18" s="3"/>
    </row>
    <row r="19" spans="1:7" ht="12">
      <c r="A19" s="3"/>
      <c r="C19" s="3"/>
      <c r="D19" s="3"/>
      <c r="E19" s="3"/>
      <c r="F19" s="3"/>
      <c r="G19" s="3"/>
    </row>
    <row r="20" spans="1:7" ht="12">
      <c r="A20" s="3"/>
      <c r="B20" s="3"/>
      <c r="C20" s="3"/>
      <c r="D20" s="3"/>
      <c r="E20" s="3"/>
      <c r="F20" s="3"/>
      <c r="G20" s="3"/>
    </row>
    <row r="21" spans="1:10" ht="12">
      <c r="A21" s="3"/>
      <c r="B21" s="3" t="s">
        <v>172</v>
      </c>
      <c r="C21" s="3"/>
      <c r="D21" s="3"/>
      <c r="E21" s="3"/>
      <c r="F21" s="3"/>
      <c r="G21" s="3"/>
      <c r="H21" s="3"/>
      <c r="I21" s="3"/>
      <c r="J21" s="13"/>
    </row>
    <row r="22" spans="8:10" ht="12.75">
      <c r="H22" s="3"/>
      <c r="I22" s="3"/>
      <c r="J22" s="3"/>
    </row>
    <row r="23" spans="8:10" ht="12.75">
      <c r="H23" s="3"/>
      <c r="I23" s="3"/>
      <c r="J23" s="3"/>
    </row>
    <row r="25" spans="6:7" ht="12.75">
      <c r="F25" t="s">
        <v>173</v>
      </c>
      <c r="G25">
        <f>(49-20*15/5)/SQRT((94-20^2/5)*(55-15^2/5))</f>
        <v>-0.9296696802013682</v>
      </c>
    </row>
    <row r="27" ht="12.75">
      <c r="G27" t="s">
        <v>174</v>
      </c>
    </row>
    <row r="31" spans="2:6" ht="14.25">
      <c r="B31" s="14" t="s">
        <v>0</v>
      </c>
      <c r="C31" s="14" t="s">
        <v>1</v>
      </c>
      <c r="D31" s="14" t="s">
        <v>28</v>
      </c>
      <c r="E31" s="14" t="s">
        <v>29</v>
      </c>
      <c r="F31" s="14" t="s">
        <v>136</v>
      </c>
    </row>
    <row r="32" spans="2:6" ht="12">
      <c r="B32">
        <v>6</v>
      </c>
      <c r="C32">
        <v>1</v>
      </c>
      <c r="D32">
        <v>6</v>
      </c>
      <c r="E32">
        <v>36</v>
      </c>
      <c r="F32">
        <v>1</v>
      </c>
    </row>
    <row r="33" spans="2:6" ht="12">
      <c r="B33">
        <v>6</v>
      </c>
      <c r="C33">
        <v>2</v>
      </c>
      <c r="D33">
        <v>12</v>
      </c>
      <c r="E33">
        <v>36</v>
      </c>
      <c r="F33">
        <v>4</v>
      </c>
    </row>
    <row r="34" spans="2:6" ht="12">
      <c r="B34">
        <v>3</v>
      </c>
      <c r="C34">
        <v>3</v>
      </c>
      <c r="D34">
        <v>9</v>
      </c>
      <c r="E34">
        <v>9</v>
      </c>
      <c r="F34">
        <v>9</v>
      </c>
    </row>
    <row r="35" spans="2:6" ht="12">
      <c r="B35">
        <v>3</v>
      </c>
      <c r="C35">
        <v>4</v>
      </c>
      <c r="D35">
        <v>12</v>
      </c>
      <c r="E35">
        <v>9</v>
      </c>
      <c r="F35">
        <v>16</v>
      </c>
    </row>
    <row r="36" spans="2:6" ht="12">
      <c r="B36" s="2">
        <v>2</v>
      </c>
      <c r="C36" s="2">
        <v>5</v>
      </c>
      <c r="D36" s="2">
        <v>10</v>
      </c>
      <c r="E36" s="2">
        <v>4</v>
      </c>
      <c r="F36" s="56">
        <v>25</v>
      </c>
    </row>
    <row r="37" spans="2:6" ht="12">
      <c r="B37">
        <f>SUM(B32:B36)</f>
        <v>20</v>
      </c>
      <c r="C37">
        <f>SUM(C32:C36)</f>
        <v>15</v>
      </c>
      <c r="D37">
        <f>SUM(D32:D36)</f>
        <v>49</v>
      </c>
      <c r="E37">
        <f>SUM(E32:E36)</f>
        <v>94</v>
      </c>
      <c r="F37">
        <f>SUM(F32:F36)</f>
        <v>55</v>
      </c>
    </row>
    <row r="51" ht="12.75">
      <c r="A51" s="10" t="s">
        <v>10</v>
      </c>
    </row>
    <row r="53" ht="12.75">
      <c r="A53" s="1" t="s">
        <v>11</v>
      </c>
    </row>
    <row r="54" spans="1:2" ht="12.75">
      <c r="A54" s="1" t="s">
        <v>12</v>
      </c>
      <c r="B54" s="9" t="s">
        <v>126</v>
      </c>
    </row>
    <row r="55" ht="12">
      <c r="B55" t="s">
        <v>127</v>
      </c>
    </row>
    <row r="56" spans="1:2" ht="12.75">
      <c r="A56" s="1" t="s">
        <v>13</v>
      </c>
      <c r="B56" t="s">
        <v>14</v>
      </c>
    </row>
    <row r="57" spans="1:2" ht="12.75">
      <c r="A57" s="1" t="s">
        <v>15</v>
      </c>
      <c r="B57" t="s">
        <v>18</v>
      </c>
    </row>
    <row r="58" spans="1:2" ht="15">
      <c r="A58" s="1" t="s">
        <v>16</v>
      </c>
      <c r="B58" s="9" t="s">
        <v>19</v>
      </c>
    </row>
    <row r="59" spans="1:2" ht="15">
      <c r="A59" s="1" t="s">
        <v>17</v>
      </c>
      <c r="B59" s="9" t="s">
        <v>20</v>
      </c>
    </row>
    <row r="82" spans="2:4" ht="12">
      <c r="B82" t="s">
        <v>7</v>
      </c>
      <c r="D82" t="s">
        <v>25</v>
      </c>
    </row>
    <row r="83" ht="12">
      <c r="D83" t="s">
        <v>8</v>
      </c>
    </row>
    <row r="85" ht="12.75">
      <c r="D85" t="s">
        <v>26</v>
      </c>
    </row>
    <row r="86" ht="12.75">
      <c r="D86" t="s">
        <v>9</v>
      </c>
    </row>
    <row r="106" spans="9:54" ht="12">
      <c r="I106" t="s">
        <v>6</v>
      </c>
      <c r="AV106" s="1">
        <v>0</v>
      </c>
      <c r="AW106" s="1">
        <v>1</v>
      </c>
      <c r="AX106">
        <v>2</v>
      </c>
      <c r="AY106">
        <v>3</v>
      </c>
      <c r="AZ106">
        <v>4</v>
      </c>
      <c r="BA106">
        <v>5</v>
      </c>
      <c r="BB106">
        <v>6</v>
      </c>
    </row>
    <row r="107" spans="9:54" ht="12">
      <c r="I107" s="5" t="s">
        <v>21</v>
      </c>
      <c r="J107" t="s">
        <v>175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</row>
    <row r="108" spans="9:10" ht="12">
      <c r="I108" s="6" t="s">
        <v>22</v>
      </c>
      <c r="J108" t="s">
        <v>176</v>
      </c>
    </row>
    <row r="109" spans="9:10" ht="12">
      <c r="I109" s="7" t="s">
        <v>23</v>
      </c>
      <c r="J109" t="s">
        <v>177</v>
      </c>
    </row>
    <row r="110" spans="9:10" ht="12">
      <c r="I110" s="8" t="s">
        <v>24</v>
      </c>
      <c r="J110" t="s">
        <v>178</v>
      </c>
    </row>
    <row r="126" ht="12.75">
      <c r="B126" s="11" t="s">
        <v>27</v>
      </c>
    </row>
    <row r="127" spans="20:21" ht="12.75">
      <c r="T127" s="1" t="s">
        <v>0</v>
      </c>
      <c r="U127" s="1" t="s">
        <v>1</v>
      </c>
    </row>
    <row r="128" spans="20:21" ht="12.75">
      <c r="T128">
        <v>6</v>
      </c>
      <c r="U128">
        <v>5</v>
      </c>
    </row>
    <row r="129" spans="20:21" ht="12.75">
      <c r="T129">
        <v>6</v>
      </c>
      <c r="U129">
        <v>6</v>
      </c>
    </row>
    <row r="130" spans="20:21" ht="12.75">
      <c r="T130">
        <v>3</v>
      </c>
      <c r="U130">
        <v>4</v>
      </c>
    </row>
    <row r="131" spans="20:21" ht="12.75">
      <c r="T131">
        <v>3</v>
      </c>
      <c r="U131">
        <v>1</v>
      </c>
    </row>
    <row r="132" spans="20:21" ht="12.75">
      <c r="T132">
        <v>2</v>
      </c>
      <c r="U132">
        <v>2</v>
      </c>
    </row>
    <row r="133" spans="20:21" ht="12.75">
      <c r="T133">
        <v>1</v>
      </c>
      <c r="U133">
        <v>3</v>
      </c>
    </row>
    <row r="134" spans="20:21" ht="12.75">
      <c r="T134">
        <v>4</v>
      </c>
      <c r="U134">
        <v>5</v>
      </c>
    </row>
    <row r="135" spans="20:21" ht="12.75">
      <c r="T135">
        <v>4</v>
      </c>
      <c r="U135">
        <v>2</v>
      </c>
    </row>
    <row r="152" ht="12.75" thickBot="1"/>
    <row r="153" spans="2:4" ht="12.75" thickBot="1">
      <c r="B153" s="16" t="s">
        <v>128</v>
      </c>
      <c r="C153" s="17"/>
      <c r="D153" s="18"/>
    </row>
    <row r="162" spans="4:6" ht="12">
      <c r="D162" s="1"/>
      <c r="E162" s="1"/>
      <c r="F162" s="1"/>
    </row>
    <row r="163" spans="4:6" ht="12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71" spans="2:8" ht="14.25">
      <c r="B171" s="14" t="s">
        <v>0</v>
      </c>
      <c r="C171" s="14" t="s">
        <v>1</v>
      </c>
      <c r="D171" s="14" t="s">
        <v>28</v>
      </c>
      <c r="E171" s="14" t="s">
        <v>29</v>
      </c>
      <c r="F171" s="14" t="s">
        <v>31</v>
      </c>
      <c r="G171" s="14" t="s">
        <v>32</v>
      </c>
      <c r="H171" s="1"/>
    </row>
    <row r="172" spans="2:7" ht="12">
      <c r="B172">
        <v>6</v>
      </c>
      <c r="C172">
        <v>1</v>
      </c>
      <c r="D172">
        <v>6</v>
      </c>
      <c r="E172">
        <v>36</v>
      </c>
      <c r="F172">
        <f>-0.78571*6+6.14284</f>
        <v>1.4285799999999993</v>
      </c>
      <c r="G172">
        <f>C172-F172</f>
        <v>-0.4285799999999993</v>
      </c>
    </row>
    <row r="173" spans="2:7" ht="12">
      <c r="B173">
        <v>6</v>
      </c>
      <c r="C173">
        <v>2</v>
      </c>
      <c r="D173">
        <v>12</v>
      </c>
      <c r="E173">
        <v>36</v>
      </c>
      <c r="F173">
        <f>-0.78571*6+6.14284</f>
        <v>1.4285799999999993</v>
      </c>
      <c r="G173">
        <f>C173-F173</f>
        <v>0.5714200000000007</v>
      </c>
    </row>
    <row r="174" spans="2:7" ht="12">
      <c r="B174">
        <v>3</v>
      </c>
      <c r="C174">
        <v>3</v>
      </c>
      <c r="D174">
        <v>9</v>
      </c>
      <c r="E174">
        <v>9</v>
      </c>
      <c r="F174">
        <f>-0.78571*3+6.14284</f>
        <v>3.7857099999999995</v>
      </c>
      <c r="G174">
        <f>C174-F174</f>
        <v>-0.7857099999999995</v>
      </c>
    </row>
    <row r="175" spans="2:7" ht="12">
      <c r="B175">
        <v>3</v>
      </c>
      <c r="C175">
        <v>4</v>
      </c>
      <c r="D175">
        <v>12</v>
      </c>
      <c r="E175">
        <v>9</v>
      </c>
      <c r="F175">
        <f>-0.78571*3+6.14284</f>
        <v>3.7857099999999995</v>
      </c>
      <c r="G175">
        <f>C175-F175</f>
        <v>0.21429000000000054</v>
      </c>
    </row>
    <row r="176" spans="2:7" ht="12">
      <c r="B176" s="2">
        <v>2</v>
      </c>
      <c r="C176" s="2">
        <v>5</v>
      </c>
      <c r="D176" s="2">
        <v>10</v>
      </c>
      <c r="E176" s="2">
        <v>4</v>
      </c>
      <c r="F176" s="2">
        <f>-0.78571*2+6.14284</f>
        <v>4.57142</v>
      </c>
      <c r="G176" s="2">
        <f>C176-F176</f>
        <v>0.4285800000000002</v>
      </c>
    </row>
    <row r="177" spans="2:7" ht="12">
      <c r="B177">
        <f>SUM(B172:B176)</f>
        <v>20</v>
      </c>
      <c r="C177">
        <f>SUM(C172:C176)</f>
        <v>15</v>
      </c>
      <c r="D177">
        <f>SUM(D172:D176)</f>
        <v>49</v>
      </c>
      <c r="E177">
        <f>SUM(E172:E176)</f>
        <v>94</v>
      </c>
      <c r="G177" s="19">
        <f>SUM(G172:G176)</f>
        <v>2.6645352591003757E-15</v>
      </c>
    </row>
    <row r="178" spans="1:8" ht="12">
      <c r="A178" t="s">
        <v>30</v>
      </c>
      <c r="B178">
        <f>B177/5</f>
        <v>4</v>
      </c>
      <c r="C178">
        <f>C177/5</f>
        <v>3</v>
      </c>
      <c r="G178" s="19">
        <f>SUMSQ(G172:G176)</f>
        <v>1.3571428573999997</v>
      </c>
      <c r="H178" s="59" t="s">
        <v>179</v>
      </c>
    </row>
    <row r="180" spans="1:5" ht="12">
      <c r="A180" t="s">
        <v>35</v>
      </c>
      <c r="B180" s="2">
        <f>49-20*15/5</f>
        <v>-11</v>
      </c>
      <c r="C180" t="s">
        <v>36</v>
      </c>
      <c r="D180">
        <f>-11/14</f>
        <v>-0.7857142857142857</v>
      </c>
      <c r="E180" s="54" t="s">
        <v>129</v>
      </c>
    </row>
    <row r="181" ht="12">
      <c r="B181">
        <f>94-20^2/5</f>
        <v>14</v>
      </c>
    </row>
    <row r="183" spans="1:5" ht="12">
      <c r="A183" t="s">
        <v>37</v>
      </c>
      <c r="B183" t="s">
        <v>38</v>
      </c>
      <c r="D183" s="3">
        <f>3-(-0.78571*4)</f>
        <v>6.14284</v>
      </c>
      <c r="E183" s="55" t="s">
        <v>130</v>
      </c>
    </row>
    <row r="185" ht="12.75" thickBot="1"/>
    <row r="186" spans="2:4" ht="12.75" thickBot="1">
      <c r="B186" s="16" t="s">
        <v>33</v>
      </c>
      <c r="C186" s="17"/>
      <c r="D186" s="18"/>
    </row>
    <row r="188" ht="15">
      <c r="B188" t="s">
        <v>34</v>
      </c>
    </row>
    <row r="215" ht="12.75" thickBot="1"/>
    <row r="216" spans="1:4" ht="12.75">
      <c r="A216" t="s">
        <v>0</v>
      </c>
      <c r="B216" s="20" t="s">
        <v>39</v>
      </c>
      <c r="C216" s="33" t="s">
        <v>65</v>
      </c>
      <c r="D216" s="35" t="s">
        <v>67</v>
      </c>
    </row>
    <row r="217" spans="1:4" ht="12.75">
      <c r="A217" t="s">
        <v>1</v>
      </c>
      <c r="B217" s="23" t="s">
        <v>42</v>
      </c>
      <c r="C217" s="34" t="s">
        <v>66</v>
      </c>
      <c r="D217" s="36" t="s">
        <v>68</v>
      </c>
    </row>
    <row r="218" spans="2:4" ht="13.5" thickBot="1">
      <c r="B218" s="25" t="s">
        <v>45</v>
      </c>
      <c r="C218" s="26"/>
      <c r="D218" s="27"/>
    </row>
    <row r="220" ht="12">
      <c r="B220" t="s">
        <v>46</v>
      </c>
    </row>
    <row r="222" spans="2:8" ht="12.75">
      <c r="B222" t="s">
        <v>47</v>
      </c>
      <c r="C222">
        <f>0.6*0.8/5</f>
        <v>0.096</v>
      </c>
      <c r="G222" s="1" t="s">
        <v>39</v>
      </c>
      <c r="H222" s="1" t="s">
        <v>49</v>
      </c>
    </row>
    <row r="223" spans="2:8" ht="12.75">
      <c r="B223" t="s">
        <v>48</v>
      </c>
      <c r="C223">
        <f>2.6-0.096*20</f>
        <v>0.6800000000000002</v>
      </c>
      <c r="G223">
        <v>25</v>
      </c>
      <c r="H223">
        <f>0.68+0.096*25</f>
        <v>3.08</v>
      </c>
    </row>
    <row r="224" spans="7:8" ht="13.5" thickBot="1">
      <c r="G224">
        <v>10</v>
      </c>
      <c r="H224">
        <f>0.68+0.096*10</f>
        <v>1.6400000000000001</v>
      </c>
    </row>
    <row r="225" spans="2:8" ht="13.5" thickBot="1">
      <c r="B225" s="16" t="s">
        <v>131</v>
      </c>
      <c r="C225" s="18"/>
      <c r="G225">
        <v>27</v>
      </c>
      <c r="H225">
        <f>0.68+0.096*27</f>
        <v>3.2720000000000002</v>
      </c>
    </row>
    <row r="226" spans="2:8" ht="12.75">
      <c r="B226" s="3"/>
      <c r="C226" s="3"/>
      <c r="G226">
        <v>20</v>
      </c>
      <c r="H226">
        <f>0.68+0.096*20</f>
        <v>2.6</v>
      </c>
    </row>
    <row r="227" spans="2:3" ht="12">
      <c r="B227" s="3"/>
      <c r="C227" s="3"/>
    </row>
    <row r="228" spans="2:3" ht="12">
      <c r="B228" s="3"/>
      <c r="C228" s="3"/>
    </row>
    <row r="229" spans="2:3" ht="12">
      <c r="B229" s="3"/>
      <c r="C229" s="3"/>
    </row>
    <row r="230" spans="2:3" ht="12">
      <c r="B230" s="3"/>
      <c r="C230" s="3"/>
    </row>
    <row r="231" spans="2:3" ht="12">
      <c r="B231" s="3"/>
      <c r="C231" s="3"/>
    </row>
    <row r="232" spans="2:3" ht="12">
      <c r="B232" s="3"/>
      <c r="C232" s="3"/>
    </row>
    <row r="233" spans="2:3" ht="12">
      <c r="B233" s="3"/>
      <c r="C233" s="3"/>
    </row>
    <row r="234" spans="2:3" ht="12">
      <c r="B234" s="3"/>
      <c r="C234" s="3"/>
    </row>
    <row r="238" ht="12">
      <c r="D238" t="s">
        <v>42</v>
      </c>
    </row>
    <row r="244" ht="12">
      <c r="F244" s="28"/>
    </row>
    <row r="245" spans="6:7" ht="12">
      <c r="F245" s="28"/>
      <c r="G245">
        <v>0.096</v>
      </c>
    </row>
    <row r="247" ht="12">
      <c r="F247" s="28">
        <v>1</v>
      </c>
    </row>
    <row r="250" ht="12">
      <c r="E250">
        <v>0.68</v>
      </c>
    </row>
    <row r="253" ht="12">
      <c r="I253" t="s">
        <v>39</v>
      </c>
    </row>
    <row r="256" ht="12.75">
      <c r="D256" t="s">
        <v>50</v>
      </c>
    </row>
    <row r="258" ht="12.75">
      <c r="D258" t="s">
        <v>54</v>
      </c>
    </row>
    <row r="260" spans="3:5" ht="12.75">
      <c r="C260" s="29" t="s">
        <v>45</v>
      </c>
      <c r="E260" s="9" t="s">
        <v>45</v>
      </c>
    </row>
    <row r="261" spans="2:5" ht="15">
      <c r="B261" s="14" t="s">
        <v>0</v>
      </c>
      <c r="C261" s="14" t="s">
        <v>1</v>
      </c>
      <c r="D261" s="14" t="s">
        <v>51</v>
      </c>
      <c r="E261" s="14" t="s">
        <v>52</v>
      </c>
    </row>
    <row r="262" spans="2:5" ht="12">
      <c r="B262">
        <v>25</v>
      </c>
      <c r="C262">
        <v>2.6</v>
      </c>
      <c r="D262">
        <v>1</v>
      </c>
      <c r="E262">
        <v>0</v>
      </c>
    </row>
    <row r="263" spans="2:5" ht="12">
      <c r="B263">
        <v>10</v>
      </c>
      <c r="C263">
        <v>3.2</v>
      </c>
      <c r="D263">
        <v>-2</v>
      </c>
      <c r="E263">
        <f>(3.2-2.6)/0.8</f>
        <v>0.7500000000000001</v>
      </c>
    </row>
    <row r="264" spans="2:5" ht="12">
      <c r="B264">
        <v>27</v>
      </c>
      <c r="C264">
        <v>2.3</v>
      </c>
      <c r="D264">
        <v>1.4</v>
      </c>
      <c r="E264">
        <f>(2.3-2.6)/0.8</f>
        <v>-0.37500000000000033</v>
      </c>
    </row>
    <row r="265" spans="2:4" ht="12">
      <c r="B265">
        <v>20</v>
      </c>
      <c r="D265">
        <v>0</v>
      </c>
    </row>
    <row r="282" ht="12.75" thickBot="1"/>
    <row r="283" spans="1:4" ht="12">
      <c r="A283" t="s">
        <v>0</v>
      </c>
      <c r="B283" s="20" t="s">
        <v>39</v>
      </c>
      <c r="C283" s="21" t="s">
        <v>40</v>
      </c>
      <c r="D283" s="22" t="s">
        <v>41</v>
      </c>
    </row>
    <row r="284" spans="1:4" ht="12">
      <c r="A284" t="s">
        <v>1</v>
      </c>
      <c r="B284" s="23" t="s">
        <v>42</v>
      </c>
      <c r="C284" s="3" t="s">
        <v>43</v>
      </c>
      <c r="D284" s="24" t="s">
        <v>44</v>
      </c>
    </row>
    <row r="285" spans="2:4" ht="13.5" thickBot="1">
      <c r="B285" s="25" t="s">
        <v>45</v>
      </c>
      <c r="C285" s="26"/>
      <c r="D285" s="27"/>
    </row>
    <row r="287" ht="15">
      <c r="B287" t="s">
        <v>53</v>
      </c>
    </row>
    <row r="290" spans="2:6" ht="15">
      <c r="B290" s="1" t="s">
        <v>39</v>
      </c>
      <c r="C290" s="1" t="s">
        <v>49</v>
      </c>
      <c r="D290" s="1" t="s">
        <v>51</v>
      </c>
      <c r="E290" s="1" t="s">
        <v>55</v>
      </c>
      <c r="F290" s="1" t="s">
        <v>31</v>
      </c>
    </row>
    <row r="291" spans="2:6" ht="12">
      <c r="B291">
        <v>25</v>
      </c>
      <c r="C291" s="60">
        <f>0.096*25+0.68</f>
        <v>3.08</v>
      </c>
      <c r="D291">
        <v>1</v>
      </c>
      <c r="E291">
        <f>0.6*1</f>
        <v>0.6</v>
      </c>
      <c r="F291" s="60">
        <f>2.6+0.6*0.8</f>
        <v>3.08</v>
      </c>
    </row>
    <row r="292" spans="2:6" ht="12">
      <c r="B292">
        <v>10</v>
      </c>
      <c r="C292" s="62">
        <f>0.096*10+0.68</f>
        <v>1.6400000000000001</v>
      </c>
      <c r="D292">
        <v>-2</v>
      </c>
      <c r="E292">
        <f>0.6*-2</f>
        <v>-1.2</v>
      </c>
      <c r="F292" s="62">
        <f>2.6-1.2*0.8</f>
        <v>1.6400000000000001</v>
      </c>
    </row>
    <row r="293" spans="2:6" ht="12">
      <c r="B293">
        <v>27</v>
      </c>
      <c r="C293" s="63">
        <f>0.096*27+0.68</f>
        <v>3.2720000000000002</v>
      </c>
      <c r="D293">
        <v>1.4</v>
      </c>
      <c r="E293">
        <f>0.6*1.4</f>
        <v>0.84</v>
      </c>
      <c r="F293" s="63">
        <f>2.6+0.84*0.8</f>
        <v>3.2720000000000002</v>
      </c>
    </row>
    <row r="294" spans="2:6" ht="12">
      <c r="B294">
        <v>20</v>
      </c>
      <c r="C294" s="61">
        <f>0.096*20+0.68</f>
        <v>2.6</v>
      </c>
      <c r="D294">
        <v>0</v>
      </c>
      <c r="E294">
        <f>0.6*0</f>
        <v>0</v>
      </c>
      <c r="F294" s="61">
        <f>2.6</f>
        <v>2.6</v>
      </c>
    </row>
    <row r="297" ht="12">
      <c r="B297" t="s">
        <v>70</v>
      </c>
    </row>
    <row r="299" ht="12">
      <c r="B299" t="s">
        <v>180</v>
      </c>
    </row>
    <row r="301" spans="2:7" ht="12">
      <c r="B301">
        <v>72</v>
      </c>
      <c r="F301" t="s">
        <v>183</v>
      </c>
      <c r="G301" t="s">
        <v>184</v>
      </c>
    </row>
    <row r="302" spans="5:7" ht="12">
      <c r="E302" t="s">
        <v>181</v>
      </c>
      <c r="F302">
        <v>70</v>
      </c>
      <c r="G302">
        <v>65</v>
      </c>
    </row>
    <row r="303" spans="5:7" ht="12">
      <c r="E303" s="1" t="s">
        <v>185</v>
      </c>
      <c r="F303">
        <v>70</v>
      </c>
      <c r="G303">
        <v>65</v>
      </c>
    </row>
    <row r="304" spans="5:7" ht="12">
      <c r="E304" s="1" t="s">
        <v>186</v>
      </c>
      <c r="F304">
        <v>70</v>
      </c>
      <c r="G304">
        <v>62</v>
      </c>
    </row>
    <row r="306" spans="2:7" ht="12">
      <c r="B306">
        <v>69</v>
      </c>
      <c r="E306" t="s">
        <v>182</v>
      </c>
      <c r="F306">
        <v>30</v>
      </c>
      <c r="G306">
        <v>35</v>
      </c>
    </row>
    <row r="307" spans="5:7" ht="12">
      <c r="E307" s="1" t="s">
        <v>185</v>
      </c>
      <c r="F307">
        <v>30</v>
      </c>
      <c r="G307">
        <v>35</v>
      </c>
    </row>
    <row r="308" spans="5:7" ht="12">
      <c r="E308" s="1" t="s">
        <v>186</v>
      </c>
      <c r="F308">
        <v>30</v>
      </c>
      <c r="G308">
        <v>32</v>
      </c>
    </row>
    <row r="311" ht="12">
      <c r="B311">
        <v>64</v>
      </c>
    </row>
  </sheetData>
  <sheetProtection/>
  <printOptions/>
  <pageMargins left="0.75" right="0.75" top="1" bottom="1" header="0.5" footer="0.5"/>
  <pageSetup horizontalDpi="600" verticalDpi="600" orientation="portrait" r:id="rId21"/>
  <drawing r:id="rId20"/>
  <legacyDrawing r:id="rId19"/>
  <oleObjects>
    <oleObject progId="Equation.COEE2" shapeId="3330559" r:id="rId1"/>
    <oleObject progId="Equation.COEE2" shapeId="3352664" r:id="rId2"/>
    <oleObject progId="Equation.COEE2" shapeId="1502318" r:id="rId3"/>
    <oleObject progId="Equation.COEE2" shapeId="1504269" r:id="rId4"/>
    <oleObject progId="Equation.COEE2" shapeId="486009" r:id="rId5"/>
    <oleObject progId="Equation.COEE2" shapeId="556956" r:id="rId6"/>
    <oleObject progId="Equation.COEE2" shapeId="558106" r:id="rId7"/>
    <oleObject progId="Equation.COEE2" shapeId="562551" r:id="rId8"/>
    <oleObject progId="Equation.COEE2" shapeId="704693" r:id="rId9"/>
    <oleObject progId="Equation.COEE2" shapeId="705943" r:id="rId10"/>
    <oleObject progId="Equation.COEE2" shapeId="1213758" r:id="rId11"/>
    <oleObject progId="Equation.COEE2" shapeId="1218183" r:id="rId12"/>
    <oleObject progId="Equation.COEE2" shapeId="194523" r:id="rId13"/>
    <oleObject progId="Equation.COEE2" shapeId="197566" r:id="rId14"/>
    <oleObject progId="Equation.COEE2" shapeId="228827" r:id="rId15"/>
    <oleObject progId="Equation.COEE2" shapeId="242018" r:id="rId16"/>
    <oleObject progId="Equation.COEE2" shapeId="253673" r:id="rId17"/>
    <oleObject progId="Equation.COEE2" shapeId="41504298" r:id="rId1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175" zoomScaleNormal="175" zoomScalePageLayoutView="0" workbookViewId="0" topLeftCell="A1">
      <selection activeCell="A1" sqref="A1"/>
    </sheetView>
  </sheetViews>
  <sheetFormatPr defaultColWidth="9.140625" defaultRowHeight="12.75"/>
  <cols>
    <col min="5" max="5" width="4.7109375" style="0" customWidth="1"/>
    <col min="6" max="6" width="4.421875" style="0" customWidth="1"/>
    <col min="7" max="7" width="4.28125" style="0" customWidth="1"/>
    <col min="8" max="8" width="8.28125" style="0" customWidth="1"/>
    <col min="11" max="12" width="5.28125" style="0" customWidth="1"/>
  </cols>
  <sheetData>
    <row r="1" ht="12.75">
      <c r="A1" s="11" t="s">
        <v>27</v>
      </c>
    </row>
    <row r="2" spans="6:9" ht="12.75">
      <c r="F2" s="14" t="s">
        <v>0</v>
      </c>
      <c r="G2" s="14" t="s">
        <v>1</v>
      </c>
      <c r="H2" s="30" t="s">
        <v>31</v>
      </c>
      <c r="I2" s="30" t="s">
        <v>32</v>
      </c>
    </row>
    <row r="3" spans="6:9" ht="12.75">
      <c r="F3">
        <v>6</v>
      </c>
      <c r="G3">
        <v>1</v>
      </c>
      <c r="H3">
        <f>-0.78571*6+6.14284</f>
        <v>1.4285799999999993</v>
      </c>
      <c r="I3">
        <f>G3-H3</f>
        <v>-0.4285799999999993</v>
      </c>
    </row>
    <row r="4" spans="6:9" ht="12.75">
      <c r="F4">
        <v>6</v>
      </c>
      <c r="G4">
        <v>2</v>
      </c>
      <c r="H4">
        <f>-0.78571*6+6.14284</f>
        <v>1.4285799999999993</v>
      </c>
      <c r="I4">
        <f>G4-H4</f>
        <v>0.5714200000000007</v>
      </c>
    </row>
    <row r="5" spans="6:9" ht="12.75">
      <c r="F5">
        <v>3</v>
      </c>
      <c r="G5">
        <v>3</v>
      </c>
      <c r="H5">
        <f>-0.78571*3+6.14284</f>
        <v>3.7857099999999995</v>
      </c>
      <c r="I5">
        <f>G5-H5</f>
        <v>-0.7857099999999995</v>
      </c>
    </row>
    <row r="6" spans="6:9" ht="12.75">
      <c r="F6">
        <v>3</v>
      </c>
      <c r="G6">
        <v>4</v>
      </c>
      <c r="H6">
        <f>-0.78571*3+6.14284</f>
        <v>3.7857099999999995</v>
      </c>
      <c r="I6">
        <f>G6-H6</f>
        <v>0.21429000000000054</v>
      </c>
    </row>
    <row r="7" spans="6:9" ht="12.75">
      <c r="F7" s="2">
        <v>2</v>
      </c>
      <c r="G7" s="2">
        <v>5</v>
      </c>
      <c r="H7" s="2">
        <f>-0.78571*2+6.14284</f>
        <v>4.57142</v>
      </c>
      <c r="I7" s="2">
        <f>G7-H7</f>
        <v>0.4285800000000002</v>
      </c>
    </row>
    <row r="8" spans="5:9" ht="12.75">
      <c r="E8" s="32" t="s">
        <v>30</v>
      </c>
      <c r="F8">
        <f>AVERAGE(F3:F7)</f>
        <v>4</v>
      </c>
      <c r="G8">
        <f>AVERAGE(G3:G7)</f>
        <v>3</v>
      </c>
      <c r="H8">
        <f>AVERAGE(H3:H7)</f>
        <v>2.9999999999999996</v>
      </c>
      <c r="I8" s="31">
        <f>AVERAGE(I3:I7)</f>
        <v>5.329070518200751E-16</v>
      </c>
    </row>
    <row r="9" spans="5:9" ht="14.25">
      <c r="E9" s="32" t="s">
        <v>62</v>
      </c>
      <c r="F9">
        <f>VAR(F3:F7)</f>
        <v>3.5</v>
      </c>
      <c r="G9">
        <f>VAR(G3:G7)</f>
        <v>2.5</v>
      </c>
      <c r="H9">
        <f>VAR(H3:H7)</f>
        <v>2.1606907143499985</v>
      </c>
      <c r="I9">
        <f>VAR(I3:I7)</f>
        <v>0.33928571434999993</v>
      </c>
    </row>
    <row r="11" ht="12">
      <c r="A11" t="s">
        <v>56</v>
      </c>
    </row>
    <row r="15" ht="12.75">
      <c r="C15" t="s">
        <v>187</v>
      </c>
    </row>
    <row r="21" ht="12.75">
      <c r="A21" s="11" t="s">
        <v>57</v>
      </c>
    </row>
    <row r="23" spans="1:2" ht="12">
      <c r="A23" s="1" t="s">
        <v>11</v>
      </c>
      <c r="B23" t="s">
        <v>58</v>
      </c>
    </row>
    <row r="24" spans="1:2" ht="12">
      <c r="A24" s="1" t="s">
        <v>12</v>
      </c>
      <c r="B24" t="s">
        <v>59</v>
      </c>
    </row>
    <row r="25" spans="1:2" ht="12">
      <c r="A25" s="1" t="s">
        <v>13</v>
      </c>
      <c r="B25" t="s">
        <v>61</v>
      </c>
    </row>
    <row r="26" spans="1:2" ht="12">
      <c r="A26" s="1" t="s">
        <v>15</v>
      </c>
      <c r="B26" t="s">
        <v>60</v>
      </c>
    </row>
    <row r="28" ht="12.75">
      <c r="I28">
        <f>37.299*SQRT(1-0.558)</f>
        <v>24.79752421597769</v>
      </c>
    </row>
    <row r="30" ht="12">
      <c r="B30" t="s">
        <v>63</v>
      </c>
    </row>
    <row r="32" ht="12.75" thickBot="1"/>
    <row r="33" spans="2:4" ht="12.75">
      <c r="B33" s="20" t="s">
        <v>39</v>
      </c>
      <c r="C33" s="33" t="s">
        <v>65</v>
      </c>
      <c r="D33" s="35" t="s">
        <v>67</v>
      </c>
    </row>
    <row r="34" spans="2:4" ht="12.75">
      <c r="B34" s="23" t="s">
        <v>42</v>
      </c>
      <c r="C34" s="34" t="s">
        <v>66</v>
      </c>
      <c r="D34" s="36" t="s">
        <v>68</v>
      </c>
    </row>
    <row r="35" spans="2:4" ht="13.5" thickBot="1">
      <c r="B35" s="25" t="s">
        <v>45</v>
      </c>
      <c r="C35" s="26"/>
      <c r="D35" s="27"/>
    </row>
    <row r="37" ht="12.75" thickBot="1">
      <c r="A37" t="s">
        <v>64</v>
      </c>
    </row>
    <row r="38" spans="1:4" ht="12.75" thickBot="1">
      <c r="A38" s="16" t="s">
        <v>131</v>
      </c>
      <c r="B38" s="18"/>
      <c r="C38" t="s">
        <v>188</v>
      </c>
      <c r="D38">
        <f>0.68+0.096*12</f>
        <v>1.8320000000000003</v>
      </c>
    </row>
    <row r="39" spans="3:4" ht="15.75">
      <c r="C39" s="45" t="s">
        <v>189</v>
      </c>
      <c r="D39">
        <f>0.8*SQRT(1-0.6^2)</f>
        <v>0.6400000000000001</v>
      </c>
    </row>
    <row r="41" ht="12">
      <c r="A41" s="45" t="s">
        <v>190</v>
      </c>
    </row>
    <row r="45" ht="12">
      <c r="A45" t="s">
        <v>137</v>
      </c>
    </row>
    <row r="46" ht="12.75" thickBot="1">
      <c r="A46" s="45" t="s">
        <v>191</v>
      </c>
    </row>
    <row r="47" spans="1:4" ht="12.75" thickBot="1">
      <c r="A47" s="16" t="s">
        <v>131</v>
      </c>
      <c r="B47" s="18"/>
      <c r="C47" t="s">
        <v>188</v>
      </c>
      <c r="D47">
        <f>0.68+0.096*26.41</f>
        <v>3.2153600000000004</v>
      </c>
    </row>
    <row r="48" ht="12">
      <c r="A48" s="64" t="s">
        <v>192</v>
      </c>
    </row>
    <row r="53" ht="12.75" thickBot="1">
      <c r="A53" t="s">
        <v>69</v>
      </c>
    </row>
    <row r="54" spans="1:4" ht="12.75" thickBot="1">
      <c r="A54" s="16" t="s">
        <v>131</v>
      </c>
      <c r="B54" s="18"/>
      <c r="C54" t="s">
        <v>188</v>
      </c>
      <c r="D54">
        <f>0.68+0.096*25</f>
        <v>3.08</v>
      </c>
    </row>
    <row r="55" spans="3:4" ht="15.75">
      <c r="C55" s="45" t="s">
        <v>189</v>
      </c>
      <c r="D55">
        <f>0.8*SQRT(1-0.6^2)</f>
        <v>0.6400000000000001</v>
      </c>
    </row>
    <row r="57" spans="3:6" ht="12">
      <c r="C57">
        <f>3.08-1.96*0.64</f>
        <v>1.8256000000000001</v>
      </c>
      <c r="D57">
        <f>3.08+1.96*0.64</f>
        <v>4.3344000000000005</v>
      </c>
      <c r="F57" t="s">
        <v>193</v>
      </c>
    </row>
  </sheetData>
  <sheetProtection/>
  <printOptions/>
  <pageMargins left="0.75" right="0.75" top="1" bottom="1" header="0.5" footer="0.5"/>
  <pageSetup horizontalDpi="600" verticalDpi="600" orientation="portrait" r:id="rId9"/>
  <legacyDrawing r:id="rId8"/>
  <oleObjects>
    <oleObject progId="Equation.COEE2" shapeId="299485" r:id="rId1"/>
    <oleObject progId="Equation.COEE2" shapeId="332939" r:id="rId2"/>
    <oleObject progId="Equation.COEE2" shapeId="336894" r:id="rId3"/>
    <oleObject progId="Equation.COEE2" shapeId="339092" r:id="rId4"/>
    <oleObject progId="Equation.COEE2" shapeId="428725" r:id="rId5"/>
    <oleObject progId="Equation.COEE2" shapeId="155976696" r:id="rId6"/>
    <oleObject progId="Equation.COEE2" shapeId="172116309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71</v>
      </c>
    </row>
    <row r="7" spans="6:10" ht="12">
      <c r="F7" t="s">
        <v>196</v>
      </c>
      <c r="H7" t="s">
        <v>196</v>
      </c>
      <c r="J7" t="s">
        <v>196</v>
      </c>
    </row>
    <row r="8" spans="6:11" ht="12.75">
      <c r="F8" t="s">
        <v>194</v>
      </c>
      <c r="G8" t="s">
        <v>195</v>
      </c>
      <c r="H8" t="s">
        <v>197</v>
      </c>
      <c r="I8" t="s">
        <v>198</v>
      </c>
      <c r="J8" t="s">
        <v>199</v>
      </c>
      <c r="K8" t="s">
        <v>200</v>
      </c>
    </row>
    <row r="16" spans="6:7" ht="12">
      <c r="F16" s="14" t="s">
        <v>0</v>
      </c>
      <c r="G16" s="14" t="s">
        <v>0</v>
      </c>
    </row>
    <row r="17" spans="6:7" ht="12.75">
      <c r="F17">
        <v>6</v>
      </c>
      <c r="G17">
        <v>6</v>
      </c>
    </row>
    <row r="18" spans="6:7" ht="12.75">
      <c r="F18">
        <v>6</v>
      </c>
      <c r="G18">
        <v>6</v>
      </c>
    </row>
    <row r="19" spans="6:7" ht="12">
      <c r="F19">
        <v>3</v>
      </c>
      <c r="G19">
        <v>3</v>
      </c>
    </row>
    <row r="20" spans="6:7" ht="12">
      <c r="F20">
        <v>3</v>
      </c>
      <c r="G20">
        <v>3</v>
      </c>
    </row>
    <row r="21" spans="1:7" ht="12.75">
      <c r="A21" s="11" t="s">
        <v>72</v>
      </c>
      <c r="F21" s="2">
        <v>2</v>
      </c>
      <c r="G21" s="2">
        <v>2</v>
      </c>
    </row>
    <row r="26" spans="1:4" ht="12.75">
      <c r="A26" s="11" t="s">
        <v>73</v>
      </c>
      <c r="D26" t="s">
        <v>201</v>
      </c>
    </row>
    <row r="31" spans="1:4" ht="12.75">
      <c r="A31" s="11" t="s">
        <v>74</v>
      </c>
      <c r="D31" t="s">
        <v>202</v>
      </c>
    </row>
    <row r="68" ht="12.75">
      <c r="E68" t="s">
        <v>203</v>
      </c>
    </row>
    <row r="75" ht="12.75">
      <c r="A75" s="11" t="s">
        <v>75</v>
      </c>
    </row>
  </sheetData>
  <sheetProtection/>
  <printOptions/>
  <pageMargins left="0.75" right="0.75" top="1" bottom="1" header="0.5" footer="0.5"/>
  <pageSetup horizontalDpi="600" verticalDpi="600" orientation="portrait" r:id="rId11"/>
  <drawing r:id="rId10"/>
  <legacyDrawing r:id="rId9"/>
  <oleObjects>
    <oleObject progId="Equation.COEE2" shapeId="670673" r:id="rId1"/>
    <oleObject progId="Equation.COEE2" shapeId="671476" r:id="rId2"/>
    <oleObject progId="Equation.COEE2" shapeId="672893" r:id="rId3"/>
    <oleObject progId="Equation.COEE2" shapeId="673783" r:id="rId4"/>
    <oleObject progId="Equation.COEE2" shapeId="674591" r:id="rId5"/>
    <oleObject progId="Equation.COEE2" shapeId="689154" r:id="rId6"/>
    <oleObject progId="Equation.COEE2" shapeId="697450" r:id="rId7"/>
    <oleObject progId="Equation.COEE2" shapeId="86668627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86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2" ht="12.75">
      <c r="A2" s="45" t="s">
        <v>138</v>
      </c>
    </row>
    <row r="3" ht="12">
      <c r="B3" t="s">
        <v>132</v>
      </c>
    </row>
    <row r="4" ht="12">
      <c r="B4" s="45" t="s">
        <v>139</v>
      </c>
    </row>
    <row r="6" ht="15">
      <c r="A6" t="s">
        <v>133</v>
      </c>
    </row>
    <row r="7" ht="15">
      <c r="B7" s="45" t="s">
        <v>134</v>
      </c>
    </row>
    <row r="10" spans="3:8" ht="12.75">
      <c r="C10" t="s">
        <v>76</v>
      </c>
      <c r="H10" t="s">
        <v>206</v>
      </c>
    </row>
    <row r="12" spans="8:9" ht="12.75">
      <c r="H12" t="s">
        <v>204</v>
      </c>
      <c r="I12" t="s">
        <v>205</v>
      </c>
    </row>
    <row r="17" ht="15">
      <c r="A17" s="45" t="s">
        <v>140</v>
      </c>
    </row>
    <row r="20" ht="12.75">
      <c r="F20" s="29" t="s">
        <v>77</v>
      </c>
    </row>
    <row r="21" ht="12.75">
      <c r="H21" t="s">
        <v>207</v>
      </c>
    </row>
    <row r="24" spans="2:6" ht="12.75">
      <c r="B24" s="29" t="s">
        <v>78</v>
      </c>
      <c r="D24" s="29" t="s">
        <v>79</v>
      </c>
      <c r="E24">
        <f>0.3*SQRT(25)/SQRT(1-0.3^2)</f>
        <v>1.5724272550828775</v>
      </c>
      <c r="F24">
        <f>TDIST(1.57243,25,2)</f>
        <v>0.12842252327743403</v>
      </c>
    </row>
    <row r="25" spans="3:5" ht="12.75">
      <c r="C25" s="29"/>
      <c r="D25" t="s">
        <v>208</v>
      </c>
      <c r="E25" s="29"/>
    </row>
    <row r="26" spans="3:5" ht="12.75">
      <c r="C26" s="29"/>
      <c r="D26" t="s">
        <v>209</v>
      </c>
      <c r="E26" s="29"/>
    </row>
    <row r="27" spans="3:5" ht="12.75">
      <c r="C27" s="29"/>
      <c r="D27" t="s">
        <v>210</v>
      </c>
      <c r="E27" s="29"/>
    </row>
    <row r="28" spans="3:5" ht="12.75">
      <c r="C28" s="29"/>
      <c r="D28" t="s">
        <v>211</v>
      </c>
      <c r="E28" s="29"/>
    </row>
    <row r="29" spans="3:5" ht="12.75">
      <c r="C29" s="29"/>
      <c r="E29" s="29"/>
    </row>
    <row r="30" spans="3:5" ht="12.75">
      <c r="C30" s="29"/>
      <c r="E30" s="29"/>
    </row>
    <row r="31" spans="3:5" ht="12.75">
      <c r="C31" s="29"/>
      <c r="E31" s="29"/>
    </row>
    <row r="32" spans="3:5" ht="12.75">
      <c r="C32" s="29"/>
      <c r="E32" s="29"/>
    </row>
    <row r="33" spans="3:5" ht="12.75">
      <c r="C33" s="29"/>
      <c r="E33" s="29"/>
    </row>
    <row r="34" spans="3:5" ht="12.75">
      <c r="C34" s="29"/>
      <c r="E34" s="29"/>
    </row>
    <row r="35" spans="3:5" ht="12.75">
      <c r="C35" s="29"/>
      <c r="E35" s="29"/>
    </row>
    <row r="36" spans="3:5" ht="12.75">
      <c r="C36" s="29"/>
      <c r="E36" s="29"/>
    </row>
    <row r="37" spans="1:5" ht="15">
      <c r="A37" s="10" t="s">
        <v>141</v>
      </c>
      <c r="C37" s="29"/>
      <c r="E37" s="29"/>
    </row>
    <row r="38" spans="2:6" ht="12">
      <c r="B38">
        <v>0.1</v>
      </c>
      <c r="C38">
        <v>0.05</v>
      </c>
      <c r="D38">
        <v>0.02</v>
      </c>
      <c r="E38">
        <v>0.01</v>
      </c>
      <c r="F38">
        <v>0.001</v>
      </c>
    </row>
    <row r="39" spans="2:6" ht="15">
      <c r="B39" s="37" t="s">
        <v>142</v>
      </c>
      <c r="C39" s="37" t="s">
        <v>143</v>
      </c>
      <c r="D39" s="37" t="s">
        <v>144</v>
      </c>
      <c r="E39" s="37" t="s">
        <v>145</v>
      </c>
      <c r="F39" s="37" t="s">
        <v>146</v>
      </c>
    </row>
    <row r="40" spans="1:7" ht="15">
      <c r="A40" s="41" t="s">
        <v>80</v>
      </c>
      <c r="B40" s="42" t="s">
        <v>147</v>
      </c>
      <c r="C40" s="42" t="s">
        <v>148</v>
      </c>
      <c r="D40" s="42" t="s">
        <v>149</v>
      </c>
      <c r="E40" s="42" t="s">
        <v>150</v>
      </c>
      <c r="F40" s="42" t="s">
        <v>151</v>
      </c>
      <c r="G40" s="57" t="s">
        <v>80</v>
      </c>
    </row>
    <row r="41" spans="1:7" ht="12">
      <c r="A41">
        <v>3</v>
      </c>
      <c r="B41" s="38">
        <f aca="true" t="shared" si="0" ref="B41:F50">SQRT(FINV(B$38,1,$A41-2)/($A41-2+FINV(B$38,1,$A41-2)))</f>
        <v>0.9876883405951378</v>
      </c>
      <c r="C41" s="38">
        <f t="shared" si="0"/>
        <v>0.996917333733128</v>
      </c>
      <c r="D41" s="39">
        <f t="shared" si="0"/>
        <v>0.9995065603657316</v>
      </c>
      <c r="E41" s="39">
        <f t="shared" si="0"/>
        <v>0.9998766324816606</v>
      </c>
      <c r="F41" s="40">
        <f t="shared" si="0"/>
        <v>0.9999987662997035</v>
      </c>
      <c r="G41">
        <f>$A41-2</f>
        <v>1</v>
      </c>
    </row>
    <row r="42" spans="1:7" ht="12">
      <c r="A42">
        <v>4</v>
      </c>
      <c r="B42" s="38">
        <f t="shared" si="0"/>
        <v>0.9000000000000001</v>
      </c>
      <c r="C42" s="38">
        <f t="shared" si="0"/>
        <v>0.95</v>
      </c>
      <c r="D42" s="38">
        <f t="shared" si="0"/>
        <v>0.98</v>
      </c>
      <c r="E42" s="38">
        <f t="shared" si="0"/>
        <v>0.99</v>
      </c>
      <c r="F42" s="38">
        <f t="shared" si="0"/>
        <v>0.999</v>
      </c>
      <c r="G42">
        <f aca="true" t="shared" si="1" ref="G42:G86">$A42-2</f>
        <v>2</v>
      </c>
    </row>
    <row r="43" spans="1:7" ht="12">
      <c r="A43">
        <v>5</v>
      </c>
      <c r="B43" s="38">
        <f t="shared" si="0"/>
        <v>0.8053836365201198</v>
      </c>
      <c r="C43" s="38">
        <f t="shared" si="0"/>
        <v>0.8783394481598052</v>
      </c>
      <c r="D43" s="38">
        <f t="shared" si="0"/>
        <v>0.9343329933968081</v>
      </c>
      <c r="E43" s="38">
        <f t="shared" si="0"/>
        <v>0.9587350035870751</v>
      </c>
      <c r="F43" s="38">
        <f t="shared" si="0"/>
        <v>0.9911387260457973</v>
      </c>
      <c r="G43">
        <f t="shared" si="1"/>
        <v>3</v>
      </c>
    </row>
    <row r="44" spans="1:7" ht="12">
      <c r="A44">
        <v>6</v>
      </c>
      <c r="B44" s="38">
        <f t="shared" si="0"/>
        <v>0.7292992756568323</v>
      </c>
      <c r="C44" s="38">
        <f t="shared" si="0"/>
        <v>0.8114013518995078</v>
      </c>
      <c r="D44" s="38">
        <f t="shared" si="0"/>
        <v>0.8821937284436095</v>
      </c>
      <c r="E44" s="38">
        <f t="shared" si="0"/>
        <v>0.9171996985679137</v>
      </c>
      <c r="F44" s="38">
        <f t="shared" si="0"/>
        <v>0.974067787828018</v>
      </c>
      <c r="G44">
        <f t="shared" si="1"/>
        <v>4</v>
      </c>
    </row>
    <row r="45" spans="1:7" ht="12">
      <c r="A45">
        <v>7</v>
      </c>
      <c r="B45" s="38">
        <f t="shared" si="0"/>
        <v>0.6694394666886838</v>
      </c>
      <c r="C45" s="38">
        <f t="shared" si="0"/>
        <v>0.7544922344609645</v>
      </c>
      <c r="D45" s="38">
        <f t="shared" si="0"/>
        <v>0.8328740245093293</v>
      </c>
      <c r="E45" s="38">
        <f t="shared" si="0"/>
        <v>0.874526379901312</v>
      </c>
      <c r="F45" s="38">
        <f t="shared" si="0"/>
        <v>0.950883419159121</v>
      </c>
      <c r="G45">
        <f t="shared" si="1"/>
        <v>5</v>
      </c>
    </row>
    <row r="46" spans="1:7" ht="12">
      <c r="A46">
        <v>8</v>
      </c>
      <c r="B46" s="38">
        <f t="shared" si="0"/>
        <v>0.6214892451244584</v>
      </c>
      <c r="C46" s="38">
        <f t="shared" si="0"/>
        <v>0.7067344007306537</v>
      </c>
      <c r="D46" s="38">
        <f t="shared" si="0"/>
        <v>0.7887203128984512</v>
      </c>
      <c r="E46" s="38">
        <f t="shared" si="0"/>
        <v>0.8343416255970464</v>
      </c>
      <c r="F46" s="38">
        <f t="shared" si="0"/>
        <v>0.9249041986562635</v>
      </c>
      <c r="G46">
        <f t="shared" si="1"/>
        <v>6</v>
      </c>
    </row>
    <row r="47" spans="1:7" ht="12">
      <c r="A47">
        <v>9</v>
      </c>
      <c r="B47" s="38">
        <f t="shared" si="0"/>
        <v>0.5822055965611602</v>
      </c>
      <c r="C47" s="38">
        <f t="shared" si="0"/>
        <v>0.6663836053363091</v>
      </c>
      <c r="D47" s="38">
        <f t="shared" si="0"/>
        <v>0.7497758234944027</v>
      </c>
      <c r="E47" s="38">
        <f t="shared" si="0"/>
        <v>0.7976812046498163</v>
      </c>
      <c r="F47" s="38">
        <f t="shared" si="0"/>
        <v>0.8982599531284385</v>
      </c>
      <c r="G47">
        <f t="shared" si="1"/>
        <v>7</v>
      </c>
    </row>
    <row r="48" spans="1:7" ht="12">
      <c r="A48">
        <v>10</v>
      </c>
      <c r="B48" s="38">
        <f t="shared" si="0"/>
        <v>0.5493568319351044</v>
      </c>
      <c r="C48" s="38">
        <f t="shared" si="0"/>
        <v>0.631896864719834</v>
      </c>
      <c r="D48" s="38">
        <f t="shared" si="0"/>
        <v>0.7154592459862854</v>
      </c>
      <c r="E48" s="38">
        <f t="shared" si="0"/>
        <v>0.764592496662096</v>
      </c>
      <c r="F48" s="38">
        <f t="shared" si="0"/>
        <v>0.8721151568058808</v>
      </c>
      <c r="G48">
        <f t="shared" si="1"/>
        <v>8</v>
      </c>
    </row>
    <row r="49" spans="1:7" ht="12">
      <c r="A49">
        <v>11</v>
      </c>
      <c r="B49" s="38">
        <f t="shared" si="0"/>
        <v>0.5214043647428331</v>
      </c>
      <c r="C49" s="38">
        <f t="shared" si="0"/>
        <v>0.6020687774370084</v>
      </c>
      <c r="D49" s="38">
        <f t="shared" si="0"/>
        <v>0.6850953517516406</v>
      </c>
      <c r="E49" s="38">
        <f t="shared" si="0"/>
        <v>0.734786337391058</v>
      </c>
      <c r="F49" s="38">
        <f t="shared" si="0"/>
        <v>0.8470470071063071</v>
      </c>
      <c r="G49">
        <f t="shared" si="1"/>
        <v>9</v>
      </c>
    </row>
    <row r="50" spans="1:7" ht="12">
      <c r="A50">
        <v>12</v>
      </c>
      <c r="B50" s="38">
        <f t="shared" si="0"/>
        <v>0.49726474518364544</v>
      </c>
      <c r="C50" s="38">
        <f t="shared" si="0"/>
        <v>0.575982986442264</v>
      </c>
      <c r="D50" s="38">
        <f t="shared" si="0"/>
        <v>0.6580697890350818</v>
      </c>
      <c r="E50" s="38">
        <f t="shared" si="0"/>
        <v>0.7078875513299716</v>
      </c>
      <c r="F50" s="38">
        <f t="shared" si="0"/>
        <v>0.8233048346749142</v>
      </c>
      <c r="G50">
        <f t="shared" si="1"/>
        <v>10</v>
      </c>
    </row>
    <row r="51" spans="1:7" ht="12">
      <c r="A51">
        <v>13</v>
      </c>
      <c r="B51" s="38">
        <f aca="true" t="shared" si="2" ref="B51:F60">SQRT(FINV(B$38,1,$A51-2)/($A51-2+FINV(B$38,1,$A51-2)))</f>
        <v>0.47615599190716146</v>
      </c>
      <c r="C51" s="38">
        <f t="shared" si="2"/>
        <v>0.5529426594945894</v>
      </c>
      <c r="D51" s="38">
        <f t="shared" si="2"/>
        <v>0.6338629900285985</v>
      </c>
      <c r="E51" s="38">
        <f t="shared" si="2"/>
        <v>0.6835276328874659</v>
      </c>
      <c r="F51" s="38">
        <f t="shared" si="2"/>
        <v>0.8009616202822949</v>
      </c>
      <c r="G51">
        <f t="shared" si="1"/>
        <v>11</v>
      </c>
    </row>
    <row r="52" spans="1:7" ht="12">
      <c r="A52">
        <v>14</v>
      </c>
      <c r="B52" s="38">
        <f t="shared" si="2"/>
        <v>0.4575001718446622</v>
      </c>
      <c r="C52" s="38">
        <f t="shared" si="2"/>
        <v>0.5324128046813096</v>
      </c>
      <c r="D52" s="38">
        <f t="shared" si="2"/>
        <v>0.6120465588428436</v>
      </c>
      <c r="E52" s="38">
        <f t="shared" si="2"/>
        <v>0.6613756042495186</v>
      </c>
      <c r="F52" s="38">
        <f t="shared" si="2"/>
        <v>0.779998425353562</v>
      </c>
      <c r="G52">
        <f t="shared" si="1"/>
        <v>12</v>
      </c>
    </row>
    <row r="53" spans="1:7" ht="12">
      <c r="A53">
        <v>15</v>
      </c>
      <c r="B53" s="38">
        <f t="shared" si="2"/>
        <v>0.44086084150785015</v>
      </c>
      <c r="C53" s="38">
        <f t="shared" si="2"/>
        <v>0.5139774842560563</v>
      </c>
      <c r="D53" s="38">
        <f t="shared" si="2"/>
        <v>0.592269790602144</v>
      </c>
      <c r="E53" s="38">
        <f t="shared" si="2"/>
        <v>0.6411448089783381</v>
      </c>
      <c r="F53" s="38">
        <f t="shared" si="2"/>
        <v>0.7603507688578965</v>
      </c>
      <c r="G53">
        <f t="shared" si="1"/>
        <v>13</v>
      </c>
    </row>
    <row r="54" spans="1:7" ht="12">
      <c r="A54">
        <v>16</v>
      </c>
      <c r="B54" s="38">
        <f t="shared" si="2"/>
        <v>0.42590199441122206</v>
      </c>
      <c r="C54" s="38">
        <f t="shared" si="2"/>
        <v>0.497309035459393</v>
      </c>
      <c r="D54" s="38">
        <f t="shared" si="2"/>
        <v>0.5742453499873729</v>
      </c>
      <c r="E54" s="38">
        <f t="shared" si="2"/>
        <v>0.62259073052885</v>
      </c>
      <c r="F54" s="38">
        <f t="shared" si="2"/>
        <v>0.7419339444154415</v>
      </c>
      <c r="G54">
        <f t="shared" si="1"/>
        <v>14</v>
      </c>
    </row>
    <row r="55" spans="1:7" ht="12">
      <c r="A55">
        <v>17</v>
      </c>
      <c r="B55" s="38">
        <f t="shared" si="2"/>
        <v>0.4123604810104243</v>
      </c>
      <c r="C55" s="38">
        <f t="shared" si="2"/>
        <v>0.4821460169003323</v>
      </c>
      <c r="D55" s="38">
        <f t="shared" si="2"/>
        <v>0.5577367660512684</v>
      </c>
      <c r="E55" s="38">
        <f t="shared" si="2"/>
        <v>0.6055059196538534</v>
      </c>
      <c r="F55" s="38">
        <f t="shared" si="2"/>
        <v>0.7246567141121945</v>
      </c>
      <c r="G55">
        <f t="shared" si="1"/>
        <v>15</v>
      </c>
    </row>
    <row r="56" spans="1:7" ht="12">
      <c r="A56">
        <v>18</v>
      </c>
      <c r="B56" s="38">
        <f t="shared" si="2"/>
        <v>0.40002705172446085</v>
      </c>
      <c r="C56" s="38">
        <f t="shared" si="2"/>
        <v>0.46827730544520685</v>
      </c>
      <c r="D56" s="38">
        <f t="shared" si="2"/>
        <v>0.5425482312478432</v>
      </c>
      <c r="E56" s="38">
        <f t="shared" si="2"/>
        <v>0.5897144484056809</v>
      </c>
      <c r="F56" s="38">
        <f t="shared" si="2"/>
        <v>0.7084285616906134</v>
      </c>
      <c r="G56">
        <f t="shared" si="1"/>
        <v>16</v>
      </c>
    </row>
    <row r="57" spans="1:7" ht="12">
      <c r="A57">
        <v>19</v>
      </c>
      <c r="B57" s="38">
        <f t="shared" si="2"/>
        <v>0.3887330460271413</v>
      </c>
      <c r="C57" s="38">
        <f t="shared" si="2"/>
        <v>0.45553050576304216</v>
      </c>
      <c r="D57" s="38">
        <f t="shared" si="2"/>
        <v>0.5285165032191477</v>
      </c>
      <c r="E57" s="38">
        <f t="shared" si="2"/>
        <v>0.5750667910419835</v>
      </c>
      <c r="F57" s="38">
        <f t="shared" si="2"/>
        <v>0.6931633628521114</v>
      </c>
      <c r="G57">
        <f t="shared" si="1"/>
        <v>17</v>
      </c>
    </row>
    <row r="58" spans="1:7" ht="12">
      <c r="A58">
        <v>20</v>
      </c>
      <c r="B58" s="38">
        <f t="shared" si="2"/>
        <v>0.3783408610435194</v>
      </c>
      <c r="C58" s="38">
        <f t="shared" si="2"/>
        <v>0.4437633993377869</v>
      </c>
      <c r="D58" s="38">
        <f t="shared" si="2"/>
        <v>0.5155045398035072</v>
      </c>
      <c r="E58" s="38">
        <f t="shared" si="2"/>
        <v>0.5614354041561918</v>
      </c>
      <c r="F58" s="38">
        <f t="shared" si="2"/>
        <v>0.6787810627112834</v>
      </c>
      <c r="G58">
        <f t="shared" si="1"/>
        <v>18</v>
      </c>
    </row>
    <row r="59" spans="1:7" ht="12">
      <c r="A59">
        <v>21</v>
      </c>
      <c r="B59" s="38">
        <f t="shared" si="2"/>
        <v>0.3687370033641648</v>
      </c>
      <c r="C59" s="38">
        <f t="shared" si="2"/>
        <v>0.43285755631652884</v>
      </c>
      <c r="D59" s="38">
        <f t="shared" si="2"/>
        <v>0.5033965050213403</v>
      </c>
      <c r="E59" s="38">
        <f t="shared" si="2"/>
        <v>0.5487110260249479</v>
      </c>
      <c r="F59" s="38">
        <f t="shared" si="2"/>
        <v>0.6652082536150198</v>
      </c>
      <c r="G59">
        <f t="shared" si="1"/>
        <v>19</v>
      </c>
    </row>
    <row r="60" spans="1:7" ht="12">
      <c r="A60">
        <v>22</v>
      </c>
      <c r="B60" s="38">
        <f t="shared" si="2"/>
        <v>0.3598269408225515</v>
      </c>
      <c r="C60" s="38">
        <f t="shared" si="2"/>
        <v>0.4227135041660024</v>
      </c>
      <c r="D60" s="38">
        <f t="shared" si="2"/>
        <v>0.49209384097096576</v>
      </c>
      <c r="E60" s="38">
        <f t="shared" si="2"/>
        <v>0.5367996227617534</v>
      </c>
      <c r="F60" s="38">
        <f t="shared" si="2"/>
        <v>0.6523781589654627</v>
      </c>
      <c r="G60">
        <f t="shared" si="1"/>
        <v>20</v>
      </c>
    </row>
    <row r="61" spans="1:7" ht="12">
      <c r="A61">
        <v>23</v>
      </c>
      <c r="B61" s="38">
        <f aca="true" t="shared" si="3" ref="B61:F70">SQRT(FINV(B$38,1,$A61-2)/($A61-2+FINV(B$38,1,$A61-2)))</f>
        <v>0.3515312309435395</v>
      </c>
      <c r="C61" s="38">
        <f t="shared" si="3"/>
        <v>0.41324703053361184</v>
      </c>
      <c r="D61" s="38">
        <f t="shared" si="3"/>
        <v>0.4815121635303261</v>
      </c>
      <c r="E61" s="38">
        <f t="shared" si="3"/>
        <v>0.5256198837753371</v>
      </c>
      <c r="F61" s="38">
        <f t="shared" si="3"/>
        <v>0.640230310434064</v>
      </c>
      <c r="G61">
        <f t="shared" si="1"/>
        <v>21</v>
      </c>
    </row>
    <row r="62" spans="1:7" ht="12">
      <c r="A62">
        <v>24</v>
      </c>
      <c r="B62" s="38">
        <f t="shared" si="3"/>
        <v>0.3437825697972868</v>
      </c>
      <c r="C62" s="38">
        <f t="shared" si="3"/>
        <v>0.40438632243271416</v>
      </c>
      <c r="D62" s="38">
        <f t="shared" si="3"/>
        <v>0.4715787946734777</v>
      </c>
      <c r="E62" s="38">
        <f t="shared" si="3"/>
        <v>0.5151011709962592</v>
      </c>
      <c r="F62" s="38">
        <f t="shared" si="3"/>
        <v>0.6287100816583696</v>
      </c>
      <c r="G62">
        <f t="shared" si="1"/>
        <v>22</v>
      </c>
    </row>
    <row r="63" spans="1:7" ht="12">
      <c r="A63">
        <v>25</v>
      </c>
      <c r="B63" s="38">
        <f t="shared" si="3"/>
        <v>0.3365235144279646</v>
      </c>
      <c r="C63" s="38">
        <f t="shared" si="3"/>
        <v>0.39606972934697227</v>
      </c>
      <c r="D63" s="38">
        <f t="shared" si="3"/>
        <v>0.4622307882446587</v>
      </c>
      <c r="E63" s="38">
        <f t="shared" si="3"/>
        <v>0.5051818378774741</v>
      </c>
      <c r="F63" s="38">
        <f t="shared" si="3"/>
        <v>0.6177681700789792</v>
      </c>
      <c r="G63">
        <f t="shared" si="1"/>
        <v>23</v>
      </c>
    </row>
    <row r="64" spans="1:7" ht="12">
      <c r="A64">
        <v>26</v>
      </c>
      <c r="B64" s="38">
        <f t="shared" si="3"/>
        <v>0.329704705056914</v>
      </c>
      <c r="C64" s="38">
        <f t="shared" si="3"/>
        <v>0.38824399701725315</v>
      </c>
      <c r="D64" s="38">
        <f t="shared" si="3"/>
        <v>0.4534133400587118</v>
      </c>
      <c r="E64" s="38">
        <f t="shared" si="3"/>
        <v>0.4958078478763439</v>
      </c>
      <c r="F64" s="38">
        <f t="shared" si="3"/>
        <v>0.6073600772718643</v>
      </c>
      <c r="G64">
        <f t="shared" si="1"/>
        <v>24</v>
      </c>
    </row>
    <row r="65" spans="1:7" ht="12">
      <c r="A65">
        <v>27</v>
      </c>
      <c r="B65" s="38">
        <f t="shared" si="3"/>
        <v>0.3232834628380859</v>
      </c>
      <c r="C65" s="38">
        <f t="shared" si="3"/>
        <v>0.38086286008598497</v>
      </c>
      <c r="D65" s="38">
        <f t="shared" si="3"/>
        <v>0.44507849904885655</v>
      </c>
      <c r="E65" s="38">
        <f t="shared" si="3"/>
        <v>0.48693163503495157</v>
      </c>
      <c r="F65" s="38">
        <f t="shared" si="3"/>
        <v>0.5974456142044421</v>
      </c>
      <c r="G65">
        <f t="shared" si="1"/>
        <v>25</v>
      </c>
    </row>
    <row r="66" spans="1:7" ht="12">
      <c r="A66">
        <v>28</v>
      </c>
      <c r="B66" s="38">
        <f t="shared" si="3"/>
        <v>0.31722267314185126</v>
      </c>
      <c r="C66" s="38">
        <f t="shared" si="3"/>
        <v>0.37388591108593583</v>
      </c>
      <c r="D66" s="38">
        <f t="shared" si="3"/>
        <v>0.4371841156916478</v>
      </c>
      <c r="E66" s="38">
        <f t="shared" si="3"/>
        <v>0.4785111604036775</v>
      </c>
      <c r="F66" s="38">
        <f t="shared" si="3"/>
        <v>0.5879884440325033</v>
      </c>
      <c r="G66">
        <f t="shared" si="1"/>
        <v>26</v>
      </c>
    </row>
    <row r="67" spans="1:7" ht="12">
      <c r="A67">
        <v>29</v>
      </c>
      <c r="B67" s="38">
        <f t="shared" si="3"/>
        <v>0.3114898882850526</v>
      </c>
      <c r="C67" s="38">
        <f t="shared" si="3"/>
        <v>0.3672776842415273</v>
      </c>
      <c r="D67" s="38">
        <f t="shared" si="3"/>
        <v>0.4296929786418831</v>
      </c>
      <c r="E67" s="38">
        <f t="shared" si="3"/>
        <v>0.4705091272446086</v>
      </c>
      <c r="F67" s="38">
        <f t="shared" si="3"/>
        <v>0.5789556671741768</v>
      </c>
      <c r="G67">
        <f t="shared" si="1"/>
        <v>27</v>
      </c>
    </row>
    <row r="68" spans="1:7" ht="12">
      <c r="A68">
        <v>30</v>
      </c>
      <c r="B68" s="38">
        <f t="shared" si="3"/>
        <v>0.30605660061930084</v>
      </c>
      <c r="C68" s="38">
        <f t="shared" si="3"/>
        <v>0.36100690773323296</v>
      </c>
      <c r="D68" s="38">
        <f t="shared" si="3"/>
        <v>0.42257210161189274</v>
      </c>
      <c r="E68" s="38">
        <f t="shared" si="3"/>
        <v>0.4628923253762509</v>
      </c>
      <c r="F68" s="38">
        <f t="shared" si="3"/>
        <v>0.5703174490065361</v>
      </c>
      <c r="G68">
        <f t="shared" si="1"/>
        <v>28</v>
      </c>
    </row>
    <row r="69" spans="1:7" ht="12">
      <c r="A69">
        <v>35</v>
      </c>
      <c r="B69" s="38">
        <f t="shared" si="3"/>
        <v>0.2825940172734173</v>
      </c>
      <c r="C69" s="38">
        <f t="shared" si="3"/>
        <v>0.33384461891688716</v>
      </c>
      <c r="D69" s="38">
        <f t="shared" si="3"/>
        <v>0.39159577542041857</v>
      </c>
      <c r="E69" s="38">
        <f t="shared" si="3"/>
        <v>0.4296478955474608</v>
      </c>
      <c r="F69" s="38">
        <f t="shared" si="3"/>
        <v>0.5321763052249113</v>
      </c>
      <c r="G69">
        <f t="shared" si="1"/>
        <v>33</v>
      </c>
    </row>
    <row r="70" spans="1:7" ht="12">
      <c r="A70">
        <v>40</v>
      </c>
      <c r="B70" s="38">
        <f t="shared" si="3"/>
        <v>0.2638092302634782</v>
      </c>
      <c r="C70" s="38">
        <f t="shared" si="3"/>
        <v>0.3120063686684675</v>
      </c>
      <c r="D70" s="38">
        <f t="shared" si="3"/>
        <v>0.36654569932006287</v>
      </c>
      <c r="E70" s="38">
        <f t="shared" si="3"/>
        <v>0.4026410082975826</v>
      </c>
      <c r="F70" s="38">
        <f t="shared" si="3"/>
        <v>0.5007004015085628</v>
      </c>
      <c r="G70">
        <f t="shared" si="1"/>
        <v>38</v>
      </c>
    </row>
    <row r="71" spans="1:7" ht="12">
      <c r="A71">
        <v>45</v>
      </c>
      <c r="B71" s="38">
        <f aca="true" t="shared" si="4" ref="B71:F80">SQRT(FINV(B$38,1,$A71-2)/($A71-2+FINV(B$38,1,$A71-2)))</f>
        <v>0.24833046988818705</v>
      </c>
      <c r="C71" s="38">
        <f t="shared" si="4"/>
        <v>0.293955195648923</v>
      </c>
      <c r="D71" s="38">
        <f t="shared" si="4"/>
        <v>0.3457496730140481</v>
      </c>
      <c r="E71" s="38">
        <f t="shared" si="4"/>
        <v>0.3801443419563339</v>
      </c>
      <c r="F71" s="38">
        <f t="shared" si="4"/>
        <v>0.4741723944336365</v>
      </c>
      <c r="G71">
        <f t="shared" si="1"/>
        <v>43</v>
      </c>
    </row>
    <row r="72" spans="1:7" ht="12">
      <c r="A72">
        <v>50</v>
      </c>
      <c r="B72" s="38">
        <f t="shared" si="4"/>
        <v>0.23528993765768536</v>
      </c>
      <c r="C72" s="38">
        <f t="shared" si="4"/>
        <v>0.27871059323051667</v>
      </c>
      <c r="D72" s="38">
        <f t="shared" si="4"/>
        <v>0.32812790587541946</v>
      </c>
      <c r="E72" s="38">
        <f t="shared" si="4"/>
        <v>0.36103143385073505</v>
      </c>
      <c r="F72" s="38">
        <f t="shared" si="4"/>
        <v>0.45142957210901447</v>
      </c>
      <c r="G72">
        <f t="shared" si="1"/>
        <v>48</v>
      </c>
    </row>
    <row r="73" spans="1:7" ht="12">
      <c r="A73">
        <v>60</v>
      </c>
      <c r="B73" s="38">
        <f t="shared" si="4"/>
        <v>0.21438254065058954</v>
      </c>
      <c r="C73" s="38">
        <f t="shared" si="4"/>
        <v>0.2542042854408862</v>
      </c>
      <c r="D73" s="38">
        <f t="shared" si="4"/>
        <v>0.2996953443694975</v>
      </c>
      <c r="E73" s="38">
        <f t="shared" si="4"/>
        <v>0.33010377652365497</v>
      </c>
      <c r="F73" s="38">
        <f t="shared" si="4"/>
        <v>0.4142598639428123</v>
      </c>
      <c r="G73">
        <f t="shared" si="1"/>
        <v>58</v>
      </c>
    </row>
    <row r="74" spans="1:7" ht="12">
      <c r="A74">
        <v>70</v>
      </c>
      <c r="B74" s="38">
        <f t="shared" si="4"/>
        <v>0.19821063014921306</v>
      </c>
      <c r="C74" s="38">
        <f t="shared" si="4"/>
        <v>0.23519783987894716</v>
      </c>
      <c r="D74" s="38">
        <f t="shared" si="4"/>
        <v>0.2775619109354643</v>
      </c>
      <c r="E74" s="38">
        <f t="shared" si="4"/>
        <v>0.30595826117549146</v>
      </c>
      <c r="F74" s="38">
        <f t="shared" si="4"/>
        <v>0.3849504869983812</v>
      </c>
      <c r="G74">
        <f t="shared" si="1"/>
        <v>68</v>
      </c>
    </row>
    <row r="75" spans="1:7" ht="12">
      <c r="A75">
        <v>80</v>
      </c>
      <c r="B75" s="38">
        <f t="shared" si="4"/>
        <v>0.18522033133906415</v>
      </c>
      <c r="C75" s="38">
        <f t="shared" si="4"/>
        <v>0.21990126436143376</v>
      </c>
      <c r="D75" s="38">
        <f t="shared" si="4"/>
        <v>0.2597011664947664</v>
      </c>
      <c r="E75" s="38">
        <f t="shared" si="4"/>
        <v>0.28643328415708175</v>
      </c>
      <c r="F75" s="38">
        <f t="shared" si="4"/>
        <v>0.3610795301807229</v>
      </c>
      <c r="G75">
        <f t="shared" si="1"/>
        <v>78</v>
      </c>
    </row>
    <row r="76" spans="1:7" ht="12">
      <c r="A76">
        <v>90</v>
      </c>
      <c r="B76" s="38">
        <f t="shared" si="4"/>
        <v>0.17448901547812337</v>
      </c>
      <c r="C76" s="38">
        <f t="shared" si="4"/>
        <v>0.20724638045425414</v>
      </c>
      <c r="D76" s="38">
        <f t="shared" si="4"/>
        <v>0.2448952180386908</v>
      </c>
      <c r="E76" s="38">
        <f t="shared" si="4"/>
        <v>0.2702223469271665</v>
      </c>
      <c r="F76" s="38">
        <f t="shared" si="4"/>
        <v>0.34115307138636103</v>
      </c>
      <c r="G76">
        <f t="shared" si="1"/>
        <v>88</v>
      </c>
    </row>
    <row r="77" spans="1:7" ht="12">
      <c r="A77">
        <v>100</v>
      </c>
      <c r="B77" s="38">
        <f t="shared" si="4"/>
        <v>0.16542979583854556</v>
      </c>
      <c r="C77" s="38">
        <f t="shared" si="4"/>
        <v>0.19655119559322562</v>
      </c>
      <c r="D77" s="38">
        <f t="shared" si="4"/>
        <v>0.23236241795930165</v>
      </c>
      <c r="E77" s="38">
        <f t="shared" si="4"/>
        <v>0.2564834516707529</v>
      </c>
      <c r="F77" s="38">
        <f t="shared" si="4"/>
        <v>0.32419396990210125</v>
      </c>
      <c r="G77">
        <f t="shared" si="1"/>
        <v>98</v>
      </c>
    </row>
    <row r="78" spans="1:7" ht="12">
      <c r="A78">
        <v>150</v>
      </c>
      <c r="B78" s="38">
        <f t="shared" si="4"/>
        <v>0.13481568105080943</v>
      </c>
      <c r="C78" s="38">
        <f t="shared" si="4"/>
        <v>0.16033478035857643</v>
      </c>
      <c r="D78" s="38">
        <f t="shared" si="4"/>
        <v>0.18980329162140505</v>
      </c>
      <c r="E78" s="38">
        <f t="shared" si="4"/>
        <v>0.20972565662525613</v>
      </c>
      <c r="F78" s="38">
        <f t="shared" si="4"/>
        <v>0.26603730282619026</v>
      </c>
      <c r="G78">
        <f t="shared" si="1"/>
        <v>148</v>
      </c>
    </row>
    <row r="79" spans="1:7" ht="12">
      <c r="A79">
        <v>200</v>
      </c>
      <c r="B79" s="38">
        <f t="shared" si="4"/>
        <v>0.11664248012333316</v>
      </c>
      <c r="C79" s="38">
        <f t="shared" si="4"/>
        <v>0.13878885391504056</v>
      </c>
      <c r="D79" s="38">
        <f t="shared" si="4"/>
        <v>0.16440720389593977</v>
      </c>
      <c r="E79" s="38">
        <f t="shared" si="4"/>
        <v>0.18175822638806502</v>
      </c>
      <c r="F79" s="38">
        <f t="shared" si="4"/>
        <v>0.23096895091041075</v>
      </c>
      <c r="G79">
        <f t="shared" si="1"/>
        <v>198</v>
      </c>
    </row>
    <row r="80" spans="1:7" ht="12">
      <c r="A80">
        <v>250</v>
      </c>
      <c r="B80" s="38">
        <f t="shared" si="4"/>
        <v>0.1042684762468781</v>
      </c>
      <c r="C80" s="38">
        <f t="shared" si="4"/>
        <v>0.12410134552789959</v>
      </c>
      <c r="D80" s="38">
        <f t="shared" si="4"/>
        <v>0.14706727882472662</v>
      </c>
      <c r="E80" s="38">
        <f t="shared" si="4"/>
        <v>0.16263872873908847</v>
      </c>
      <c r="F80" s="38">
        <f t="shared" si="4"/>
        <v>0.20689180516345188</v>
      </c>
      <c r="G80">
        <f t="shared" si="1"/>
        <v>248</v>
      </c>
    </row>
    <row r="81" spans="1:7" ht="12">
      <c r="A81">
        <v>300</v>
      </c>
      <c r="B81" s="38">
        <f aca="true" t="shared" si="5" ref="B81:F86">SQRT(FINV(B$38,1,$A81-2)/($A81-2+FINV(B$38,1,$A81-2)))</f>
        <v>0.09514731610622879</v>
      </c>
      <c r="C81" s="38">
        <f t="shared" si="5"/>
        <v>0.11326701786978002</v>
      </c>
      <c r="D81" s="38">
        <f t="shared" si="5"/>
        <v>0.13426358095781424</v>
      </c>
      <c r="E81" s="38">
        <f t="shared" si="5"/>
        <v>0.14850999828576192</v>
      </c>
      <c r="F81" s="38">
        <f t="shared" si="5"/>
        <v>0.18905187039495935</v>
      </c>
      <c r="G81">
        <f t="shared" si="1"/>
        <v>298</v>
      </c>
    </row>
    <row r="82" spans="1:7" ht="12">
      <c r="A82">
        <v>400</v>
      </c>
      <c r="B82" s="38">
        <f t="shared" si="5"/>
        <v>0.08236065437132627</v>
      </c>
      <c r="C82" s="38">
        <f t="shared" si="5"/>
        <v>0.09806876790897853</v>
      </c>
      <c r="D82" s="38">
        <f t="shared" si="5"/>
        <v>0.11628644104884192</v>
      </c>
      <c r="E82" s="38">
        <f t="shared" si="5"/>
        <v>0.12865842282347562</v>
      </c>
      <c r="F82" s="38">
        <f t="shared" si="5"/>
        <v>0.16392505371418797</v>
      </c>
      <c r="G82">
        <f t="shared" si="1"/>
        <v>398</v>
      </c>
    </row>
    <row r="83" spans="1:7" ht="12">
      <c r="A83">
        <v>500</v>
      </c>
      <c r="B83" s="38">
        <f t="shared" si="5"/>
        <v>0.07364450039732343</v>
      </c>
      <c r="C83" s="38">
        <f t="shared" si="5"/>
        <v>0.087702805243984</v>
      </c>
      <c r="D83" s="38">
        <f t="shared" si="5"/>
        <v>0.10401543677678642</v>
      </c>
      <c r="E83" s="38">
        <f t="shared" si="5"/>
        <v>0.11509959804886304</v>
      </c>
      <c r="F83" s="38">
        <f t="shared" si="5"/>
        <v>0.14672687746619967</v>
      </c>
      <c r="G83">
        <f t="shared" si="1"/>
        <v>498</v>
      </c>
    </row>
    <row r="84" spans="1:7" ht="12">
      <c r="A84">
        <v>1000</v>
      </c>
      <c r="B84" s="38">
        <f t="shared" si="5"/>
        <v>0.052044678790327155</v>
      </c>
      <c r="C84" s="38">
        <f t="shared" si="5"/>
        <v>0.061997415383375644</v>
      </c>
      <c r="D84" s="38">
        <f t="shared" si="5"/>
        <v>0.07355790208159307</v>
      </c>
      <c r="E84" s="38">
        <f t="shared" si="5"/>
        <v>0.08142143648362062</v>
      </c>
      <c r="F84" s="38">
        <f t="shared" si="5"/>
        <v>0.10390378724565942</v>
      </c>
      <c r="G84">
        <f t="shared" si="1"/>
        <v>998</v>
      </c>
    </row>
    <row r="85" spans="1:7" ht="12">
      <c r="A85">
        <v>5000</v>
      </c>
      <c r="B85" s="39">
        <f t="shared" si="5"/>
        <v>0.023264411791061132</v>
      </c>
      <c r="C85" s="39">
        <f t="shared" si="5"/>
        <v>0.02771968141286125</v>
      </c>
      <c r="D85" s="39">
        <f t="shared" si="5"/>
        <v>0.03289884776959425</v>
      </c>
      <c r="E85" s="39">
        <f t="shared" si="5"/>
        <v>0.03642474697513374</v>
      </c>
      <c r="F85" s="39">
        <f t="shared" si="5"/>
        <v>0.046521512296917984</v>
      </c>
      <c r="G85">
        <f t="shared" si="1"/>
        <v>4998</v>
      </c>
    </row>
    <row r="86" spans="1:7" ht="12">
      <c r="A86" s="2">
        <v>10000</v>
      </c>
      <c r="B86" s="43">
        <f t="shared" si="5"/>
        <v>0.0164494797922476</v>
      </c>
      <c r="C86" s="43">
        <f t="shared" si="5"/>
        <v>0.019600207396308952</v>
      </c>
      <c r="D86" s="43">
        <f t="shared" si="5"/>
        <v>0.02326323886693676</v>
      </c>
      <c r="E86" s="43">
        <f t="shared" si="5"/>
        <v>0.025757239772145873</v>
      </c>
      <c r="F86" s="43">
        <f t="shared" si="5"/>
        <v>0.03290047271989265</v>
      </c>
      <c r="G86" s="2">
        <f t="shared" si="1"/>
        <v>9998</v>
      </c>
    </row>
  </sheetData>
  <sheetProtection/>
  <printOptions/>
  <pageMargins left="0.75" right="0.75" top="1" bottom="1" header="0.5" footer="0.5"/>
  <pageSetup horizontalDpi="600" verticalDpi="600" orientation="portrait" r:id="rId7"/>
  <legacyDrawing r:id="rId6"/>
  <oleObjects>
    <oleObject progId="Equation.COEE2" shapeId="710643" r:id="rId1"/>
    <oleObject progId="Equation.COEE2" shapeId="712801" r:id="rId2"/>
    <oleObject progId="Equation.COEE2" shapeId="719859" r:id="rId3"/>
    <oleObject progId="Equation.COEE2" shapeId="736215" r:id="rId4"/>
    <oleObject progId="Equation.COEE2" shapeId="740183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5:K317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sheetData>
    <row r="15" ht="12.75">
      <c r="A15" t="s">
        <v>103</v>
      </c>
    </row>
    <row r="19" spans="1:4" ht="12.75">
      <c r="A19" t="s">
        <v>99</v>
      </c>
      <c r="D19" t="s">
        <v>100</v>
      </c>
    </row>
    <row r="22" spans="1:4" ht="12.75">
      <c r="A22" t="s">
        <v>101</v>
      </c>
      <c r="D22" t="s">
        <v>102</v>
      </c>
    </row>
    <row r="50" ht="12.75">
      <c r="A50" s="11" t="s">
        <v>88</v>
      </c>
    </row>
    <row r="52" spans="1:10" ht="15">
      <c r="A52" s="29" t="s">
        <v>89</v>
      </c>
      <c r="B52" s="9" t="s">
        <v>212</v>
      </c>
      <c r="C52" s="9" t="s">
        <v>213</v>
      </c>
      <c r="D52" s="29"/>
      <c r="E52" s="45" t="s">
        <v>152</v>
      </c>
      <c r="I52" t="s">
        <v>214</v>
      </c>
      <c r="J52">
        <f>0.747*SQRT(271)/SQRT(1-0.747^2)</f>
        <v>18.49688234779121</v>
      </c>
    </row>
    <row r="53" spans="1:10" ht="15">
      <c r="A53" s="29" t="s">
        <v>90</v>
      </c>
      <c r="B53" s="29" t="s">
        <v>93</v>
      </c>
      <c r="C53" s="29" t="s">
        <v>96</v>
      </c>
      <c r="D53" s="29"/>
      <c r="E53" s="45" t="s">
        <v>153</v>
      </c>
      <c r="J53">
        <f>1.9356/0.104631</f>
        <v>18.49929753132437</v>
      </c>
    </row>
    <row r="54" spans="1:4" ht="15.75">
      <c r="A54" s="29" t="s">
        <v>91</v>
      </c>
      <c r="B54" s="29" t="s">
        <v>94</v>
      </c>
      <c r="C54" s="29" t="s">
        <v>97</v>
      </c>
      <c r="D54" s="29"/>
    </row>
    <row r="55" spans="1:4" ht="15">
      <c r="A55" s="44" t="s">
        <v>36</v>
      </c>
      <c r="B55" s="44" t="s">
        <v>36</v>
      </c>
      <c r="C55" s="44" t="s">
        <v>36</v>
      </c>
      <c r="D55" s="44"/>
    </row>
    <row r="56" spans="1:4" ht="15">
      <c r="A56" s="44" t="s">
        <v>36</v>
      </c>
      <c r="B56" s="44" t="s">
        <v>36</v>
      </c>
      <c r="C56" s="44" t="s">
        <v>36</v>
      </c>
      <c r="D56" s="44"/>
    </row>
    <row r="57" spans="1:4" ht="15">
      <c r="A57" s="44" t="s">
        <v>36</v>
      </c>
      <c r="B57" s="44" t="s">
        <v>36</v>
      </c>
      <c r="C57" s="44" t="s">
        <v>36</v>
      </c>
      <c r="D57" s="44"/>
    </row>
    <row r="58" spans="1:4" ht="21">
      <c r="A58" s="9" t="s">
        <v>92</v>
      </c>
      <c r="B58" s="29" t="s">
        <v>95</v>
      </c>
      <c r="C58" s="29" t="s">
        <v>98</v>
      </c>
      <c r="D58" s="29"/>
    </row>
    <row r="63" ht="12">
      <c r="I63" t="s">
        <v>215</v>
      </c>
    </row>
    <row r="67" ht="12">
      <c r="I67">
        <f>54.0976+1.93561*80</f>
        <v>208.9464</v>
      </c>
    </row>
    <row r="135" ht="12">
      <c r="B135" t="s">
        <v>104</v>
      </c>
    </row>
    <row r="142" ht="12.75">
      <c r="A142" s="11" t="s">
        <v>105</v>
      </c>
    </row>
    <row r="144" spans="2:3" ht="12">
      <c r="B144" s="14" t="s">
        <v>110</v>
      </c>
      <c r="C144" s="14" t="s">
        <v>111</v>
      </c>
    </row>
    <row r="145" spans="2:3" ht="12">
      <c r="B145">
        <v>2.3</v>
      </c>
      <c r="C145">
        <v>3.6</v>
      </c>
    </row>
    <row r="146" spans="2:3" ht="12">
      <c r="B146">
        <v>1.6</v>
      </c>
      <c r="C146">
        <v>3.3</v>
      </c>
    </row>
    <row r="147" spans="2:3" ht="12">
      <c r="B147">
        <v>3.2</v>
      </c>
      <c r="C147">
        <v>3.7</v>
      </c>
    </row>
    <row r="148" spans="2:3" ht="12">
      <c r="B148">
        <v>1.8</v>
      </c>
      <c r="C148">
        <v>2.7</v>
      </c>
    </row>
    <row r="149" spans="2:3" ht="12">
      <c r="B149" s="2"/>
      <c r="C149" s="2">
        <v>2.2</v>
      </c>
    </row>
    <row r="150" spans="1:3" ht="12">
      <c r="A150" t="s">
        <v>112</v>
      </c>
      <c r="B150">
        <f>AVERAGE(B145:B149)</f>
        <v>2.225</v>
      </c>
      <c r="C150">
        <f>AVERAGE(C145:C149)</f>
        <v>3.1</v>
      </c>
    </row>
    <row r="153" ht="15">
      <c r="B153" s="45" t="s">
        <v>154</v>
      </c>
    </row>
    <row r="159" ht="12.75">
      <c r="I159" t="s">
        <v>221</v>
      </c>
    </row>
    <row r="160" spans="1:2" ht="15">
      <c r="A160" s="45" t="s">
        <v>216</v>
      </c>
      <c r="B160" s="45" t="s">
        <v>217</v>
      </c>
    </row>
    <row r="162" spans="2:11" ht="15.75">
      <c r="B162" s="14" t="s">
        <v>42</v>
      </c>
      <c r="C162" s="14" t="s">
        <v>106</v>
      </c>
      <c r="D162" s="65" t="s">
        <v>218</v>
      </c>
      <c r="E162" s="65" t="s">
        <v>219</v>
      </c>
      <c r="F162" s="45" t="s">
        <v>155</v>
      </c>
      <c r="I162" t="s">
        <v>220</v>
      </c>
      <c r="J162">
        <f>0.5924*SQRT(7)/SQRT(1-0.5924^2)</f>
        <v>1.945453692284395</v>
      </c>
      <c r="K162">
        <f>TDIST(J162,7,2)</f>
        <v>0.09278679121626794</v>
      </c>
    </row>
    <row r="163" spans="2:5" ht="12.75">
      <c r="B163">
        <v>2.3</v>
      </c>
      <c r="C163">
        <v>0</v>
      </c>
      <c r="D163">
        <v>1</v>
      </c>
      <c r="E163">
        <v>13</v>
      </c>
    </row>
    <row r="164" spans="2:6" ht="15">
      <c r="B164">
        <v>1.6</v>
      </c>
      <c r="C164">
        <v>0</v>
      </c>
      <c r="D164">
        <v>1</v>
      </c>
      <c r="E164">
        <v>13</v>
      </c>
      <c r="F164" s="45" t="s">
        <v>156</v>
      </c>
    </row>
    <row r="165" spans="2:5" ht="12">
      <c r="B165">
        <v>3.2</v>
      </c>
      <c r="C165">
        <v>0</v>
      </c>
      <c r="D165">
        <v>1</v>
      </c>
      <c r="E165">
        <v>13</v>
      </c>
    </row>
    <row r="166" spans="2:6" ht="15">
      <c r="B166">
        <v>1.8</v>
      </c>
      <c r="C166">
        <v>0</v>
      </c>
      <c r="D166">
        <v>1</v>
      </c>
      <c r="E166">
        <v>13</v>
      </c>
      <c r="F166" s="58" t="s">
        <v>157</v>
      </c>
    </row>
    <row r="167" spans="2:5" ht="12">
      <c r="B167">
        <v>3.6</v>
      </c>
      <c r="C167">
        <v>1</v>
      </c>
      <c r="D167">
        <v>0</v>
      </c>
      <c r="E167">
        <v>2015</v>
      </c>
    </row>
    <row r="168" spans="2:6" ht="15">
      <c r="B168">
        <v>3.3</v>
      </c>
      <c r="C168">
        <v>1</v>
      </c>
      <c r="D168">
        <v>0</v>
      </c>
      <c r="E168">
        <v>2015</v>
      </c>
      <c r="F168" s="58" t="s">
        <v>158</v>
      </c>
    </row>
    <row r="169" spans="2:5" ht="12.75">
      <c r="B169">
        <v>3.7</v>
      </c>
      <c r="C169">
        <v>1</v>
      </c>
      <c r="D169">
        <v>0</v>
      </c>
      <c r="E169">
        <v>2015</v>
      </c>
    </row>
    <row r="170" spans="2:6" ht="15.75">
      <c r="B170">
        <v>2.7</v>
      </c>
      <c r="C170">
        <v>1</v>
      </c>
      <c r="D170">
        <v>0</v>
      </c>
      <c r="E170">
        <v>2015</v>
      </c>
      <c r="F170" s="45" t="s">
        <v>159</v>
      </c>
    </row>
    <row r="171" spans="2:5" ht="12.75">
      <c r="B171">
        <v>2.2</v>
      </c>
      <c r="C171">
        <v>1</v>
      </c>
      <c r="D171">
        <v>0</v>
      </c>
      <c r="E171">
        <v>2015</v>
      </c>
    </row>
    <row r="173" ht="15">
      <c r="F173" s="29" t="s">
        <v>107</v>
      </c>
    </row>
    <row r="175" ht="15">
      <c r="F175" s="29" t="s">
        <v>108</v>
      </c>
    </row>
    <row r="200" ht="12">
      <c r="B200" s="12" t="s">
        <v>109</v>
      </c>
    </row>
    <row r="212" spans="4:5" ht="12">
      <c r="D212" s="58" t="s">
        <v>81</v>
      </c>
      <c r="E212">
        <v>100</v>
      </c>
    </row>
    <row r="213" spans="4:7" ht="15">
      <c r="D213" s="58" t="s">
        <v>82</v>
      </c>
      <c r="E213">
        <v>15</v>
      </c>
      <c r="F213" s="37" t="s">
        <v>160</v>
      </c>
      <c r="G213">
        <f>E213/SQRT(9)</f>
        <v>5</v>
      </c>
    </row>
    <row r="215" spans="2:3" ht="12">
      <c r="B215" t="s">
        <v>83</v>
      </c>
      <c r="C215" t="s">
        <v>83</v>
      </c>
    </row>
    <row r="216" spans="1:6" ht="12">
      <c r="A216" s="1" t="s">
        <v>0</v>
      </c>
      <c r="B216" t="s">
        <v>84</v>
      </c>
      <c r="C216" t="s">
        <v>85</v>
      </c>
      <c r="E216" t="s">
        <v>86</v>
      </c>
      <c r="F216" t="s">
        <v>87</v>
      </c>
    </row>
    <row r="217" spans="1:6" ht="12">
      <c r="A217">
        <v>50</v>
      </c>
      <c r="B217">
        <f aca="true" t="shared" si="0" ref="B217:B280">(1/(SQRT(2*3.14159265)*$E$213)*EXP(-0.5*($A217-$E$212)^2/($E$213^2)))</f>
        <v>0.00010281859981148411</v>
      </c>
      <c r="C217">
        <f aca="true" t="shared" si="1" ref="C217:C280">(1/(SQRT(2*3.14159265)*$G$213)*EXP(-0.5*($A217-$E$212)^2/($G$213^2)))</f>
        <v>1.5389197262205196E-23</v>
      </c>
      <c r="E217">
        <v>-4</v>
      </c>
      <c r="F217">
        <v>0.0067082</v>
      </c>
    </row>
    <row r="218" spans="1:6" ht="12">
      <c r="A218">
        <v>51</v>
      </c>
      <c r="B218">
        <f t="shared" si="0"/>
        <v>0.00012811986469666637</v>
      </c>
      <c r="C218">
        <f t="shared" si="1"/>
        <v>1.114600005180954E-22</v>
      </c>
      <c r="E218">
        <v>-3.9166667</v>
      </c>
      <c r="F218">
        <v>0.00729499</v>
      </c>
    </row>
    <row r="219" spans="1:6" ht="12">
      <c r="A219">
        <v>52</v>
      </c>
      <c r="B219">
        <f t="shared" si="0"/>
        <v>0.00015893921352179674</v>
      </c>
      <c r="C219">
        <f t="shared" si="1"/>
        <v>7.756223867925309E-22</v>
      </c>
      <c r="E219">
        <v>-3.8333333</v>
      </c>
      <c r="F219">
        <v>0.00794145</v>
      </c>
    </row>
    <row r="220" spans="1:6" ht="12">
      <c r="A220">
        <v>53</v>
      </c>
      <c r="B220">
        <f t="shared" si="0"/>
        <v>0.00019629780813770872</v>
      </c>
      <c r="C220">
        <f t="shared" si="1"/>
        <v>5.185729405163557E-21</v>
      </c>
      <c r="E220">
        <v>-3.75</v>
      </c>
      <c r="F220">
        <v>0.00865439</v>
      </c>
    </row>
    <row r="221" spans="1:6" ht="12">
      <c r="A221">
        <v>54</v>
      </c>
      <c r="B221">
        <f t="shared" si="0"/>
        <v>0.00024136241533918433</v>
      </c>
      <c r="C221">
        <f t="shared" si="1"/>
        <v>3.331176066663045E-20</v>
      </c>
      <c r="E221">
        <v>-3.6666667</v>
      </c>
      <c r="F221">
        <v>0.00944144</v>
      </c>
    </row>
    <row r="222" spans="1:6" ht="12">
      <c r="A222">
        <v>55</v>
      </c>
      <c r="B222">
        <f t="shared" si="0"/>
        <v>0.0002954565609646713</v>
      </c>
      <c r="C222">
        <f t="shared" si="1"/>
        <v>2.055954715508418E-19</v>
      </c>
      <c r="E222">
        <v>-3.5833333</v>
      </c>
      <c r="F222">
        <v>0.01031117</v>
      </c>
    </row>
    <row r="223" spans="1:6" ht="12">
      <c r="A223">
        <v>56</v>
      </c>
      <c r="B223">
        <f t="shared" si="0"/>
        <v>0.0003600704122853452</v>
      </c>
      <c r="C223">
        <f t="shared" si="1"/>
        <v>1.219151626609034E-18</v>
      </c>
      <c r="E223">
        <v>-3.5</v>
      </c>
      <c r="F223">
        <v>0.01127322</v>
      </c>
    </row>
    <row r="224" spans="1:6" ht="12">
      <c r="A224">
        <v>57</v>
      </c>
      <c r="B224">
        <f t="shared" si="0"/>
        <v>0.0004368688061838324</v>
      </c>
      <c r="C224">
        <f t="shared" si="1"/>
        <v>6.945925501100852E-18</v>
      </c>
      <c r="E224">
        <v>-3.4166667</v>
      </c>
      <c r="F224">
        <v>0.01233839</v>
      </c>
    </row>
    <row r="225" spans="1:6" ht="12">
      <c r="A225">
        <v>58</v>
      </c>
      <c r="B225">
        <f t="shared" si="0"/>
        <v>0.0005276967725001549</v>
      </c>
      <c r="C225">
        <f t="shared" si="1"/>
        <v>3.802163077988229E-17</v>
      </c>
      <c r="E225">
        <v>-3.3333333</v>
      </c>
      <c r="F225">
        <v>0.01351887</v>
      </c>
    </row>
    <row r="226" spans="1:6" ht="12">
      <c r="A226">
        <v>59</v>
      </c>
      <c r="B226">
        <f t="shared" si="0"/>
        <v>0.0006345818440517036</v>
      </c>
      <c r="C226">
        <f t="shared" si="1"/>
        <v>1.9996757508419166E-16</v>
      </c>
      <c r="E226">
        <v>-3.25</v>
      </c>
      <c r="F226">
        <v>0.0148283</v>
      </c>
    </row>
    <row r="227" spans="1:6" ht="12">
      <c r="A227">
        <v>60</v>
      </c>
      <c r="B227">
        <f t="shared" si="0"/>
        <v>0.0007597324020205564</v>
      </c>
      <c r="C227">
        <f t="shared" si="1"/>
        <v>1.0104542172846843E-15</v>
      </c>
      <c r="E227">
        <v>-3.1666667</v>
      </c>
      <c r="F227">
        <v>0.01628205</v>
      </c>
    </row>
    <row r="228" spans="1:6" ht="12">
      <c r="A228">
        <v>61</v>
      </c>
      <c r="B228">
        <f t="shared" si="0"/>
        <v>0.000905531282763068</v>
      </c>
      <c r="C228">
        <f t="shared" si="1"/>
        <v>4.9057105741956424E-15</v>
      </c>
      <c r="E228">
        <v>-3.0833333</v>
      </c>
      <c r="F228">
        <v>0.01789734</v>
      </c>
    </row>
    <row r="229" spans="1:6" ht="12">
      <c r="A229">
        <v>62</v>
      </c>
      <c r="B229">
        <f t="shared" si="0"/>
        <v>0.0010745238748571771</v>
      </c>
      <c r="C229">
        <f t="shared" si="1"/>
        <v>2.2883129816676628E-14</v>
      </c>
      <c r="E229">
        <v>-3</v>
      </c>
      <c r="F229">
        <v>0.0196935</v>
      </c>
    </row>
    <row r="230" spans="1:6" ht="12">
      <c r="A230">
        <v>63</v>
      </c>
      <c r="B230">
        <f t="shared" si="0"/>
        <v>0.0012693999684352682</v>
      </c>
      <c r="C230">
        <f t="shared" si="1"/>
        <v>1.0255507279452673E-13</v>
      </c>
      <c r="E230">
        <v>-2.9166667</v>
      </c>
      <c r="F230">
        <v>0.02169218</v>
      </c>
    </row>
    <row r="231" spans="1:6" ht="12">
      <c r="A231">
        <v>64</v>
      </c>
      <c r="B231">
        <f t="shared" si="0"/>
        <v>0.0014929686871758424</v>
      </c>
      <c r="C231">
        <f t="shared" si="1"/>
        <v>4.415979928797274E-13</v>
      </c>
      <c r="E231">
        <v>-2.8333333</v>
      </c>
      <c r="F231">
        <v>0.02391761</v>
      </c>
    </row>
    <row r="232" spans="1:6" ht="12">
      <c r="A232">
        <v>65</v>
      </c>
      <c r="B232">
        <f t="shared" si="0"/>
        <v>0.001748125940579395</v>
      </c>
      <c r="C232">
        <f t="shared" si="1"/>
        <v>1.8269440827167124E-12</v>
      </c>
      <c r="E232">
        <v>-2.75</v>
      </c>
      <c r="F232">
        <v>0.02639684</v>
      </c>
    </row>
    <row r="233" spans="1:6" ht="12">
      <c r="A233">
        <v>66</v>
      </c>
      <c r="B233">
        <f t="shared" si="0"/>
        <v>0.002037813983023302</v>
      </c>
      <c r="C233">
        <f t="shared" si="1"/>
        <v>7.261923007732552E-12</v>
      </c>
      <c r="E233">
        <v>-2.6666667</v>
      </c>
      <c r="F233">
        <v>0.02916</v>
      </c>
    </row>
    <row r="234" spans="1:6" ht="12">
      <c r="A234">
        <v>67</v>
      </c>
      <c r="B234">
        <f t="shared" si="0"/>
        <v>0.0023649728577666168</v>
      </c>
      <c r="C234">
        <f t="shared" si="1"/>
        <v>2.7733599899151366E-11</v>
      </c>
      <c r="E234">
        <v>-2.5833333</v>
      </c>
      <c r="F234">
        <v>0.03224058</v>
      </c>
    </row>
    <row r="235" spans="1:6" ht="12">
      <c r="A235">
        <v>68</v>
      </c>
      <c r="B235">
        <f t="shared" si="0"/>
        <v>0.0027324837379093044</v>
      </c>
      <c r="C235">
        <f t="shared" si="1"/>
        <v>1.0176280569104159E-10</v>
      </c>
      <c r="E235">
        <v>-2.5</v>
      </c>
      <c r="F235">
        <v>0.03567562</v>
      </c>
    </row>
    <row r="236" spans="1:6" ht="12">
      <c r="A236">
        <v>69</v>
      </c>
      <c r="B236">
        <f t="shared" si="0"/>
        <v>0.0031431044495205326</v>
      </c>
      <c r="C236">
        <f t="shared" si="1"/>
        <v>3.587567817977868E-10</v>
      </c>
      <c r="E236">
        <v>-2.4166667</v>
      </c>
      <c r="F236">
        <v>0.03950598</v>
      </c>
    </row>
    <row r="237" spans="1:6" ht="12">
      <c r="A237">
        <v>70</v>
      </c>
      <c r="B237">
        <f t="shared" si="0"/>
        <v>0.0035993977696023257</v>
      </c>
      <c r="C237">
        <f t="shared" si="1"/>
        <v>1.2151765706589277E-09</v>
      </c>
      <c r="E237">
        <v>-2.3333333</v>
      </c>
      <c r="F237">
        <v>0.04377642</v>
      </c>
    </row>
    <row r="238" spans="1:6" ht="12">
      <c r="A238">
        <v>71</v>
      </c>
      <c r="B238">
        <f t="shared" si="0"/>
        <v>0.004103653425634371</v>
      </c>
      <c r="C238">
        <f t="shared" si="1"/>
        <v>3.954639283508351E-09</v>
      </c>
      <c r="E238">
        <v>-2.25</v>
      </c>
      <c r="F238">
        <v>0.04853569</v>
      </c>
    </row>
    <row r="239" spans="1:6" ht="12">
      <c r="A239">
        <v>72</v>
      </c>
      <c r="B239">
        <f t="shared" si="0"/>
        <v>0.004657805074055504</v>
      </c>
      <c r="C239">
        <f t="shared" si="1"/>
        <v>1.2365241007396362E-08</v>
      </c>
      <c r="E239">
        <v>-2.1666667</v>
      </c>
      <c r="F239">
        <v>0.05383648</v>
      </c>
    </row>
    <row r="240" spans="1:6" ht="12">
      <c r="A240">
        <v>73</v>
      </c>
      <c r="B240">
        <f t="shared" si="0"/>
        <v>0.005263343889733399</v>
      </c>
      <c r="C240">
        <f t="shared" si="1"/>
        <v>3.7147236912329305E-08</v>
      </c>
      <c r="E240">
        <v>-2.0833333</v>
      </c>
      <c r="F240">
        <v>0.05973515</v>
      </c>
    </row>
    <row r="241" spans="1:6" ht="12">
      <c r="A241">
        <v>74</v>
      </c>
      <c r="B241">
        <f t="shared" si="0"/>
        <v>0.005921230742755787</v>
      </c>
      <c r="C241">
        <f t="shared" si="1"/>
        <v>1.072207069552112E-07</v>
      </c>
      <c r="E241">
        <v>-2</v>
      </c>
      <c r="F241">
        <v>0.06629126</v>
      </c>
    </row>
    <row r="242" spans="1:6" ht="12">
      <c r="A242">
        <v>75</v>
      </c>
      <c r="B242">
        <f t="shared" si="0"/>
        <v>0.006631809256638885</v>
      </c>
      <c r="C242">
        <f t="shared" si="1"/>
        <v>2.9734390311674196E-07</v>
      </c>
      <c r="E242">
        <v>-1.9166667</v>
      </c>
      <c r="F242">
        <v>0.07356679</v>
      </c>
    </row>
    <row r="243" spans="1:6" ht="12">
      <c r="A243">
        <v>76</v>
      </c>
      <c r="B243">
        <f t="shared" si="0"/>
        <v>0.007394722316188554</v>
      </c>
      <c r="C243">
        <f t="shared" si="1"/>
        <v>7.922598186590592E-07</v>
      </c>
      <c r="E243">
        <v>-1.8333333</v>
      </c>
      <c r="F243">
        <v>0.08162493</v>
      </c>
    </row>
    <row r="244" spans="1:6" ht="12">
      <c r="A244">
        <v>77</v>
      </c>
      <c r="B244">
        <f t="shared" si="0"/>
        <v>0.008208834806413283</v>
      </c>
      <c r="C244">
        <f t="shared" si="1"/>
        <v>2.0281704142561093E-06</v>
      </c>
      <c r="E244">
        <v>-1.75</v>
      </c>
      <c r="F244">
        <v>0.09052845</v>
      </c>
    </row>
    <row r="245" spans="1:6" ht="12">
      <c r="A245">
        <v>78</v>
      </c>
      <c r="B245">
        <f t="shared" si="0"/>
        <v>0.0090721654993351</v>
      </c>
      <c r="C245">
        <f t="shared" si="1"/>
        <v>4.988494260860807E-06</v>
      </c>
      <c r="E245">
        <v>-1.6666667</v>
      </c>
      <c r="F245">
        <v>0.10033742</v>
      </c>
    </row>
    <row r="246" spans="1:6" ht="12">
      <c r="A246">
        <v>79</v>
      </c>
      <c r="B246">
        <f t="shared" si="0"/>
        <v>0.009981831048085942</v>
      </c>
      <c r="C246">
        <f t="shared" si="1"/>
        <v>1.1788613558043195E-05</v>
      </c>
      <c r="E246">
        <v>-1.5833333</v>
      </c>
      <c r="F246">
        <v>0.11110625</v>
      </c>
    </row>
    <row r="247" spans="1:6" ht="12">
      <c r="A247">
        <v>80</v>
      </c>
      <c r="B247">
        <f t="shared" si="0"/>
        <v>0.010934004984646535</v>
      </c>
      <c r="C247">
        <f t="shared" si="1"/>
        <v>2.6766045168269398E-05</v>
      </c>
      <c r="E247">
        <v>-1.5</v>
      </c>
      <c r="F247">
        <v>0.12288</v>
      </c>
    </row>
    <row r="248" spans="1:6" ht="12">
      <c r="A248">
        <v>81</v>
      </c>
      <c r="B248">
        <f t="shared" si="0"/>
        <v>0.011923894439781885</v>
      </c>
      <c r="C248">
        <f t="shared" si="1"/>
        <v>5.838938519165184E-05</v>
      </c>
      <c r="E248">
        <v>-1.4166667</v>
      </c>
      <c r="F248">
        <v>0.1356898</v>
      </c>
    </row>
    <row r="249" spans="1:6" ht="12">
      <c r="A249">
        <v>82</v>
      </c>
      <c r="B249">
        <f t="shared" si="0"/>
        <v>0.012945737006277193</v>
      </c>
      <c r="C249">
        <f t="shared" si="1"/>
        <v>0.00012238038609267433</v>
      </c>
      <c r="E249">
        <v>-1.3333333</v>
      </c>
      <c r="F249">
        <v>0.1495475</v>
      </c>
    </row>
    <row r="250" spans="1:6" ht="12">
      <c r="A250">
        <v>83</v>
      </c>
      <c r="B250">
        <f t="shared" si="0"/>
        <v>0.013992819749642843</v>
      </c>
      <c r="C250">
        <f t="shared" si="1"/>
        <v>0.00024644383383540524</v>
      </c>
      <c r="E250">
        <v>-1.25</v>
      </c>
      <c r="F250">
        <v>0.16443951</v>
      </c>
    </row>
    <row r="251" spans="1:6" ht="12">
      <c r="A251">
        <v>84</v>
      </c>
      <c r="B251">
        <f t="shared" si="0"/>
        <v>0.015057521839744493</v>
      </c>
      <c r="C251">
        <f t="shared" si="1"/>
        <v>0.00047681764056539016</v>
      </c>
      <c r="E251">
        <v>-1.1666667</v>
      </c>
      <c r="F251">
        <v>0.18032014</v>
      </c>
    </row>
    <row r="252" spans="1:6" ht="12">
      <c r="A252">
        <v>85</v>
      </c>
      <c r="B252">
        <f t="shared" si="0"/>
        <v>0.01613138164382595</v>
      </c>
      <c r="C252">
        <f t="shared" si="1"/>
        <v>0.0008863696828940137</v>
      </c>
      <c r="E252">
        <v>-1.0833333</v>
      </c>
      <c r="F252">
        <v>0.19710462</v>
      </c>
    </row>
    <row r="253" spans="1:6" ht="12">
      <c r="A253">
        <v>86</v>
      </c>
      <c r="B253">
        <f t="shared" si="0"/>
        <v>0.017205188403379073</v>
      </c>
      <c r="C253">
        <f t="shared" si="1"/>
        <v>0.0015830903175004646</v>
      </c>
      <c r="E253">
        <v>-1</v>
      </c>
      <c r="F253">
        <v>0.21466253</v>
      </c>
    </row>
    <row r="254" spans="1:6" ht="12">
      <c r="A254">
        <v>87</v>
      </c>
      <c r="B254">
        <f t="shared" si="0"/>
        <v>0.018269097836906306</v>
      </c>
      <c r="C254">
        <f t="shared" si="1"/>
        <v>0.0027165938482892034</v>
      </c>
      <c r="E254">
        <v>-0.9166667</v>
      </c>
      <c r="F254">
        <v>0.23281209</v>
      </c>
    </row>
    <row r="255" spans="1:6" ht="12">
      <c r="A255">
        <v>88</v>
      </c>
      <c r="B255">
        <f t="shared" si="0"/>
        <v>0.019312770195132875</v>
      </c>
      <c r="C255">
        <f t="shared" si="1"/>
        <v>0.0044789060615275265</v>
      </c>
      <c r="E255">
        <v>-0.8333333</v>
      </c>
      <c r="F255">
        <v>0.25131635</v>
      </c>
    </row>
    <row r="256" spans="1:6" ht="12">
      <c r="A256">
        <v>89</v>
      </c>
      <c r="B256">
        <f t="shared" si="0"/>
        <v>0.020325528475647125</v>
      </c>
      <c r="C256">
        <f t="shared" si="1"/>
        <v>0.007094918573299849</v>
      </c>
      <c r="E256">
        <v>-0.75</v>
      </c>
      <c r="F256">
        <v>0.26988208</v>
      </c>
    </row>
    <row r="257" spans="1:6" ht="12">
      <c r="A257">
        <v>90</v>
      </c>
      <c r="B257">
        <f t="shared" si="0"/>
        <v>0.021296533713657563</v>
      </c>
      <c r="C257">
        <f t="shared" si="1"/>
        <v>0.010798193308806976</v>
      </c>
      <c r="E257">
        <v>-0.6666667</v>
      </c>
      <c r="F257">
        <v>0.28816255</v>
      </c>
    </row>
    <row r="258" spans="1:6" ht="12">
      <c r="A258">
        <v>91</v>
      </c>
      <c r="B258">
        <f t="shared" si="0"/>
        <v>0.022214973538812126</v>
      </c>
      <c r="C258">
        <f t="shared" si="1"/>
        <v>0.015790031669200198</v>
      </c>
      <c r="E258">
        <v>-0.5833333</v>
      </c>
      <c r="F258">
        <v>0.30576476</v>
      </c>
    </row>
    <row r="259" spans="1:6" ht="12">
      <c r="A259">
        <v>92</v>
      </c>
      <c r="B259">
        <f t="shared" si="0"/>
        <v>0.023070259558308995</v>
      </c>
      <c r="C259">
        <f t="shared" si="1"/>
        <v>0.022184166948565662</v>
      </c>
      <c r="E259">
        <v>-0.5</v>
      </c>
      <c r="F259">
        <v>0.32226187</v>
      </c>
    </row>
    <row r="260" spans="1:6" ht="12">
      <c r="A260">
        <v>93</v>
      </c>
      <c r="B260">
        <f t="shared" si="0"/>
        <v>0.0238522286248255</v>
      </c>
      <c r="C260">
        <f t="shared" si="1"/>
        <v>0.029945493144257825</v>
      </c>
      <c r="E260">
        <v>-0.4166667</v>
      </c>
      <c r="F260">
        <v>0.33721066</v>
      </c>
    </row>
    <row r="261" spans="1:6" ht="12">
      <c r="A261">
        <v>94</v>
      </c>
      <c r="B261">
        <f t="shared" si="0"/>
        <v>0.024551342700915215</v>
      </c>
      <c r="C261">
        <f t="shared" si="1"/>
        <v>0.03883721101883157</v>
      </c>
      <c r="E261">
        <v>-0.3333333</v>
      </c>
      <c r="F261">
        <v>0.35017345</v>
      </c>
    </row>
    <row r="262" spans="1:6" ht="12">
      <c r="A262">
        <v>95</v>
      </c>
      <c r="B262">
        <f t="shared" si="0"/>
        <v>0.025158881860573648</v>
      </c>
      <c r="C262">
        <f t="shared" si="1"/>
        <v>0.048394144931477846</v>
      </c>
      <c r="E262">
        <v>-0.25</v>
      </c>
      <c r="F262">
        <v>0.36074292</v>
      </c>
    </row>
    <row r="263" spans="1:6" ht="12">
      <c r="A263">
        <v>96</v>
      </c>
      <c r="B263">
        <f t="shared" si="0"/>
        <v>0.025667124987732076</v>
      </c>
      <c r="C263">
        <f t="shared" si="1"/>
        <v>0.057938310585398625</v>
      </c>
      <c r="E263">
        <v>-0.1666667</v>
      </c>
      <c r="F263">
        <v>0.36856789</v>
      </c>
    </row>
    <row r="264" spans="1:6" ht="12">
      <c r="A264">
        <v>97</v>
      </c>
      <c r="B264">
        <f t="shared" si="0"/>
        <v>0.026069512946591433</v>
      </c>
      <c r="C264">
        <f t="shared" si="1"/>
        <v>0.06664492061643637</v>
      </c>
      <c r="E264">
        <v>-0.0833333</v>
      </c>
      <c r="F264">
        <v>0.37337733</v>
      </c>
    </row>
    <row r="265" spans="1:6" ht="12">
      <c r="A265">
        <v>98</v>
      </c>
      <c r="B265">
        <f t="shared" si="0"/>
        <v>0.02636078940744864</v>
      </c>
      <c r="C265">
        <f t="shared" si="1"/>
        <v>0.07365402810274564</v>
      </c>
      <c r="E265">
        <v>0</v>
      </c>
      <c r="F265">
        <v>0.375</v>
      </c>
    </row>
    <row r="266" spans="1:6" ht="12">
      <c r="A266">
        <v>99</v>
      </c>
      <c r="B266">
        <f t="shared" si="0"/>
        <v>0.026537115102758347</v>
      </c>
      <c r="C266">
        <f t="shared" si="1"/>
        <v>0.0782085388397743</v>
      </c>
      <c r="E266">
        <v>0.08333333</v>
      </c>
      <c r="F266">
        <v>0.37337733</v>
      </c>
    </row>
    <row r="267" spans="1:6" ht="12">
      <c r="A267">
        <v>100</v>
      </c>
      <c r="B267">
        <f t="shared" si="0"/>
        <v>0.026596152041957442</v>
      </c>
      <c r="C267">
        <f t="shared" si="1"/>
        <v>0.07978845612587232</v>
      </c>
      <c r="E267">
        <v>0.16666667</v>
      </c>
      <c r="F267">
        <v>0.36856789</v>
      </c>
    </row>
    <row r="268" spans="1:6" ht="12">
      <c r="A268">
        <v>101</v>
      </c>
      <c r="B268">
        <f t="shared" si="0"/>
        <v>0.026537115102758347</v>
      </c>
      <c r="C268">
        <f t="shared" si="1"/>
        <v>0.0782085388397743</v>
      </c>
      <c r="E268">
        <v>0.25</v>
      </c>
      <c r="F268">
        <v>0.36074292</v>
      </c>
    </row>
    <row r="269" spans="1:6" ht="12">
      <c r="A269">
        <v>102</v>
      </c>
      <c r="B269">
        <f t="shared" si="0"/>
        <v>0.02636078940744864</v>
      </c>
      <c r="C269">
        <f t="shared" si="1"/>
        <v>0.07365402810274564</v>
      </c>
      <c r="E269">
        <v>0.33333333</v>
      </c>
      <c r="F269">
        <v>0.35017345</v>
      </c>
    </row>
    <row r="270" spans="1:6" ht="12">
      <c r="A270">
        <v>103</v>
      </c>
      <c r="B270">
        <f t="shared" si="0"/>
        <v>0.026069512946591433</v>
      </c>
      <c r="C270">
        <f t="shared" si="1"/>
        <v>0.06664492061643637</v>
      </c>
      <c r="E270">
        <v>0.41666667</v>
      </c>
      <c r="F270">
        <v>0.33721066</v>
      </c>
    </row>
    <row r="271" spans="1:6" ht="12">
      <c r="A271">
        <v>104</v>
      </c>
      <c r="B271">
        <f t="shared" si="0"/>
        <v>0.025667124987732076</v>
      </c>
      <c r="C271">
        <f t="shared" si="1"/>
        <v>0.057938310585398625</v>
      </c>
      <c r="E271">
        <v>0.5</v>
      </c>
      <c r="F271">
        <v>0.32226187</v>
      </c>
    </row>
    <row r="272" spans="1:6" ht="12">
      <c r="A272">
        <v>105</v>
      </c>
      <c r="B272">
        <f t="shared" si="0"/>
        <v>0.025158881860573648</v>
      </c>
      <c r="C272">
        <f t="shared" si="1"/>
        <v>0.048394144931477846</v>
      </c>
      <c r="E272">
        <v>0.58333333</v>
      </c>
      <c r="F272">
        <v>0.30576476</v>
      </c>
    </row>
    <row r="273" spans="1:6" ht="12">
      <c r="A273">
        <v>106</v>
      </c>
      <c r="B273">
        <f t="shared" si="0"/>
        <v>0.024551342700915215</v>
      </c>
      <c r="C273">
        <f t="shared" si="1"/>
        <v>0.03883721101883157</v>
      </c>
      <c r="E273">
        <v>0.66666667</v>
      </c>
      <c r="F273">
        <v>0.28816255</v>
      </c>
    </row>
    <row r="274" spans="1:6" ht="12">
      <c r="A274">
        <v>107</v>
      </c>
      <c r="B274">
        <f t="shared" si="0"/>
        <v>0.0238522286248255</v>
      </c>
      <c r="C274">
        <f t="shared" si="1"/>
        <v>0.029945493144257825</v>
      </c>
      <c r="E274">
        <v>0.75</v>
      </c>
      <c r="F274">
        <v>0.26988208</v>
      </c>
    </row>
    <row r="275" spans="1:6" ht="12">
      <c r="A275">
        <v>108</v>
      </c>
      <c r="B275">
        <f t="shared" si="0"/>
        <v>0.023070259558308995</v>
      </c>
      <c r="C275">
        <f t="shared" si="1"/>
        <v>0.022184166948565662</v>
      </c>
      <c r="E275">
        <v>0.83333333</v>
      </c>
      <c r="F275">
        <v>0.25131635</v>
      </c>
    </row>
    <row r="276" spans="1:6" ht="12">
      <c r="A276">
        <v>109</v>
      </c>
      <c r="B276">
        <f t="shared" si="0"/>
        <v>0.022214973538812126</v>
      </c>
      <c r="C276">
        <f t="shared" si="1"/>
        <v>0.015790031669200198</v>
      </c>
      <c r="E276">
        <v>0.91666667</v>
      </c>
      <c r="F276">
        <v>0.23281209</v>
      </c>
    </row>
    <row r="277" spans="1:6" ht="12">
      <c r="A277">
        <v>110</v>
      </c>
      <c r="B277">
        <f t="shared" si="0"/>
        <v>0.021296533713657563</v>
      </c>
      <c r="C277">
        <f t="shared" si="1"/>
        <v>0.010798193308806976</v>
      </c>
      <c r="E277">
        <v>1</v>
      </c>
      <c r="F277">
        <v>0.21466253</v>
      </c>
    </row>
    <row r="278" spans="1:6" ht="12">
      <c r="A278">
        <v>111</v>
      </c>
      <c r="B278">
        <f t="shared" si="0"/>
        <v>0.020325528475647125</v>
      </c>
      <c r="C278">
        <f t="shared" si="1"/>
        <v>0.007094918573299849</v>
      </c>
      <c r="E278">
        <v>1.08333333</v>
      </c>
      <c r="F278">
        <v>0.19710462</v>
      </c>
    </row>
    <row r="279" spans="1:6" ht="12">
      <c r="A279">
        <v>112</v>
      </c>
      <c r="B279">
        <f t="shared" si="0"/>
        <v>0.019312770195132875</v>
      </c>
      <c r="C279">
        <f t="shared" si="1"/>
        <v>0.0044789060615275265</v>
      </c>
      <c r="E279">
        <v>1.16666667</v>
      </c>
      <c r="F279">
        <v>0.18032014</v>
      </c>
    </row>
    <row r="280" spans="1:6" ht="12">
      <c r="A280">
        <v>113</v>
      </c>
      <c r="B280">
        <f t="shared" si="0"/>
        <v>0.018269097836906306</v>
      </c>
      <c r="C280">
        <f t="shared" si="1"/>
        <v>0.0027165938482892034</v>
      </c>
      <c r="E280">
        <v>1.25</v>
      </c>
      <c r="F280">
        <v>0.16443951</v>
      </c>
    </row>
    <row r="281" spans="1:6" ht="12">
      <c r="A281">
        <v>114</v>
      </c>
      <c r="B281">
        <f aca="true" t="shared" si="2" ref="B281:B317">(1/(SQRT(2*3.14159265)*$E$213)*EXP(-0.5*($A281-$E$212)^2/($E$213^2)))</f>
        <v>0.017205188403379073</v>
      </c>
      <c r="C281">
        <f aca="true" t="shared" si="3" ref="C281:C317">(1/(SQRT(2*3.14159265)*$G$213)*EXP(-0.5*($A281-$E$212)^2/($G$213^2)))</f>
        <v>0.0015830903175004646</v>
      </c>
      <c r="E281">
        <v>1.33333333</v>
      </c>
      <c r="F281">
        <v>0.1495475</v>
      </c>
    </row>
    <row r="282" spans="1:6" ht="12">
      <c r="A282">
        <v>115</v>
      </c>
      <c r="B282">
        <f t="shared" si="2"/>
        <v>0.01613138164382595</v>
      </c>
      <c r="C282">
        <f t="shared" si="3"/>
        <v>0.0008863696828940137</v>
      </c>
      <c r="E282">
        <v>1.41666667</v>
      </c>
      <c r="F282">
        <v>0.1356898</v>
      </c>
    </row>
    <row r="283" spans="1:6" ht="12">
      <c r="A283">
        <v>116</v>
      </c>
      <c r="B283">
        <f t="shared" si="2"/>
        <v>0.015057521839744493</v>
      </c>
      <c r="C283">
        <f t="shared" si="3"/>
        <v>0.00047681764056539016</v>
      </c>
      <c r="E283">
        <v>1.5</v>
      </c>
      <c r="F283">
        <v>0.12288</v>
      </c>
    </row>
    <row r="284" spans="1:6" ht="12">
      <c r="A284">
        <v>117</v>
      </c>
      <c r="B284">
        <f t="shared" si="2"/>
        <v>0.013992819749642843</v>
      </c>
      <c r="C284">
        <f t="shared" si="3"/>
        <v>0.00024644383383540524</v>
      </c>
      <c r="E284">
        <v>1.58333333</v>
      </c>
      <c r="F284">
        <v>0.11110625</v>
      </c>
    </row>
    <row r="285" spans="1:6" ht="12">
      <c r="A285">
        <v>118</v>
      </c>
      <c r="B285">
        <f t="shared" si="2"/>
        <v>0.012945737006277193</v>
      </c>
      <c r="C285">
        <f t="shared" si="3"/>
        <v>0.00012238038609267433</v>
      </c>
      <c r="E285">
        <v>1.66666667</v>
      </c>
      <c r="F285">
        <v>0.10033742</v>
      </c>
    </row>
    <row r="286" spans="1:6" ht="12">
      <c r="A286">
        <v>119</v>
      </c>
      <c r="B286">
        <f t="shared" si="2"/>
        <v>0.011923894439781885</v>
      </c>
      <c r="C286">
        <f t="shared" si="3"/>
        <v>5.838938519165184E-05</v>
      </c>
      <c r="E286">
        <v>1.75</v>
      </c>
      <c r="F286">
        <v>0.09052845</v>
      </c>
    </row>
    <row r="287" spans="1:6" ht="12">
      <c r="A287">
        <v>120</v>
      </c>
      <c r="B287">
        <f t="shared" si="2"/>
        <v>0.010934004984646535</v>
      </c>
      <c r="C287">
        <f t="shared" si="3"/>
        <v>2.6766045168269398E-05</v>
      </c>
      <c r="E287">
        <v>1.83333333</v>
      </c>
      <c r="F287">
        <v>0.08162493</v>
      </c>
    </row>
    <row r="288" spans="1:6" ht="12">
      <c r="A288">
        <v>121</v>
      </c>
      <c r="B288">
        <f t="shared" si="2"/>
        <v>0.009981831048085942</v>
      </c>
      <c r="C288">
        <f t="shared" si="3"/>
        <v>1.1788613558043195E-05</v>
      </c>
      <c r="E288">
        <v>1.91666667</v>
      </c>
      <c r="F288">
        <v>0.07356679</v>
      </c>
    </row>
    <row r="289" spans="1:6" ht="12">
      <c r="A289">
        <v>122</v>
      </c>
      <c r="B289">
        <f t="shared" si="2"/>
        <v>0.0090721654993351</v>
      </c>
      <c r="C289">
        <f t="shared" si="3"/>
        <v>4.988494260860807E-06</v>
      </c>
      <c r="E289">
        <v>2</v>
      </c>
      <c r="F289">
        <v>0.06629126</v>
      </c>
    </row>
    <row r="290" spans="1:6" ht="12">
      <c r="A290">
        <v>123</v>
      </c>
      <c r="B290">
        <f t="shared" si="2"/>
        <v>0.008208834806413283</v>
      </c>
      <c r="C290">
        <f t="shared" si="3"/>
        <v>2.0281704142561093E-06</v>
      </c>
      <c r="E290">
        <v>2.08333333</v>
      </c>
      <c r="F290">
        <v>0.05973515</v>
      </c>
    </row>
    <row r="291" spans="1:6" ht="12">
      <c r="A291">
        <v>124</v>
      </c>
      <c r="B291">
        <f t="shared" si="2"/>
        <v>0.007394722316188554</v>
      </c>
      <c r="C291">
        <f t="shared" si="3"/>
        <v>7.922598186590592E-07</v>
      </c>
      <c r="E291">
        <v>2.16666667</v>
      </c>
      <c r="F291">
        <v>0.05383648</v>
      </c>
    </row>
    <row r="292" spans="1:6" ht="12">
      <c r="A292">
        <v>125</v>
      </c>
      <c r="B292">
        <f t="shared" si="2"/>
        <v>0.006631809256638885</v>
      </c>
      <c r="C292">
        <f t="shared" si="3"/>
        <v>2.9734390311674196E-07</v>
      </c>
      <c r="E292">
        <v>2.25</v>
      </c>
      <c r="F292">
        <v>0.04853569</v>
      </c>
    </row>
    <row r="293" spans="1:6" ht="12">
      <c r="A293">
        <v>126</v>
      </c>
      <c r="B293">
        <f t="shared" si="2"/>
        <v>0.005921230742755787</v>
      </c>
      <c r="C293">
        <f t="shared" si="3"/>
        <v>1.072207069552112E-07</v>
      </c>
      <c r="E293">
        <v>2.33333333</v>
      </c>
      <c r="F293">
        <v>0.04377642</v>
      </c>
    </row>
    <row r="294" spans="1:6" ht="12">
      <c r="A294">
        <v>127</v>
      </c>
      <c r="B294">
        <f t="shared" si="2"/>
        <v>0.005263343889733399</v>
      </c>
      <c r="C294">
        <f t="shared" si="3"/>
        <v>3.7147236912329305E-08</v>
      </c>
      <c r="E294">
        <v>2.41666667</v>
      </c>
      <c r="F294">
        <v>0.03950598</v>
      </c>
    </row>
    <row r="295" spans="1:6" ht="12">
      <c r="A295">
        <v>128</v>
      </c>
      <c r="B295">
        <f t="shared" si="2"/>
        <v>0.004657805074055504</v>
      </c>
      <c r="C295">
        <f t="shared" si="3"/>
        <v>1.2365241007396362E-08</v>
      </c>
      <c r="E295">
        <v>2.5</v>
      </c>
      <c r="F295">
        <v>0.03567562</v>
      </c>
    </row>
    <row r="296" spans="1:6" ht="12">
      <c r="A296">
        <v>129</v>
      </c>
      <c r="B296">
        <f t="shared" si="2"/>
        <v>0.004103653425634371</v>
      </c>
      <c r="C296">
        <f t="shared" si="3"/>
        <v>3.954639283508351E-09</v>
      </c>
      <c r="E296">
        <v>2.58333333</v>
      </c>
      <c r="F296">
        <v>0.03224058</v>
      </c>
    </row>
    <row r="297" spans="1:6" ht="12">
      <c r="A297">
        <v>130</v>
      </c>
      <c r="B297">
        <f t="shared" si="2"/>
        <v>0.0035993977696023257</v>
      </c>
      <c r="C297">
        <f t="shared" si="3"/>
        <v>1.2151765706589277E-09</v>
      </c>
      <c r="E297">
        <v>2.66666667</v>
      </c>
      <c r="F297">
        <v>0.02916</v>
      </c>
    </row>
    <row r="298" spans="1:6" ht="12">
      <c r="A298">
        <v>131</v>
      </c>
      <c r="B298">
        <f t="shared" si="2"/>
        <v>0.0031431044495205326</v>
      </c>
      <c r="C298">
        <f t="shared" si="3"/>
        <v>3.587567817977868E-10</v>
      </c>
      <c r="E298">
        <v>2.75</v>
      </c>
      <c r="F298">
        <v>0.02639684</v>
      </c>
    </row>
    <row r="299" spans="1:6" ht="12">
      <c r="A299">
        <v>132</v>
      </c>
      <c r="B299">
        <f t="shared" si="2"/>
        <v>0.0027324837379093044</v>
      </c>
      <c r="C299">
        <f t="shared" si="3"/>
        <v>1.0176280569104159E-10</v>
      </c>
      <c r="E299">
        <v>2.83333333</v>
      </c>
      <c r="F299">
        <v>0.02391761</v>
      </c>
    </row>
    <row r="300" spans="1:6" ht="12">
      <c r="A300">
        <v>133</v>
      </c>
      <c r="B300">
        <f t="shared" si="2"/>
        <v>0.0023649728577666168</v>
      </c>
      <c r="C300">
        <f t="shared" si="3"/>
        <v>2.7733599899151366E-11</v>
      </c>
      <c r="E300">
        <v>2.91666667</v>
      </c>
      <c r="F300">
        <v>0.02169218</v>
      </c>
    </row>
    <row r="301" spans="1:6" ht="12">
      <c r="A301">
        <v>134</v>
      </c>
      <c r="B301">
        <f t="shared" si="2"/>
        <v>0.002037813983023302</v>
      </c>
      <c r="C301">
        <f t="shared" si="3"/>
        <v>7.261923007732552E-12</v>
      </c>
      <c r="E301">
        <v>3</v>
      </c>
      <c r="F301">
        <v>0.0196935</v>
      </c>
    </row>
    <row r="302" spans="1:6" ht="12">
      <c r="A302">
        <v>135</v>
      </c>
      <c r="B302">
        <f t="shared" si="2"/>
        <v>0.001748125940579395</v>
      </c>
      <c r="C302">
        <f t="shared" si="3"/>
        <v>1.8269440827167124E-12</v>
      </c>
      <c r="E302">
        <v>3.08333333</v>
      </c>
      <c r="F302">
        <v>0.01789734</v>
      </c>
    </row>
    <row r="303" spans="1:6" ht="12">
      <c r="A303">
        <v>136</v>
      </c>
      <c r="B303">
        <f t="shared" si="2"/>
        <v>0.0014929686871758424</v>
      </c>
      <c r="C303">
        <f t="shared" si="3"/>
        <v>4.415979928797274E-13</v>
      </c>
      <c r="E303">
        <v>3.16666667</v>
      </c>
      <c r="F303">
        <v>0.01628205</v>
      </c>
    </row>
    <row r="304" spans="1:6" ht="12">
      <c r="A304">
        <v>137</v>
      </c>
      <c r="B304">
        <f t="shared" si="2"/>
        <v>0.0012693999684352682</v>
      </c>
      <c r="C304">
        <f t="shared" si="3"/>
        <v>1.0255507279452673E-13</v>
      </c>
      <c r="E304">
        <v>3.25</v>
      </c>
      <c r="F304">
        <v>0.0148283</v>
      </c>
    </row>
    <row r="305" spans="1:6" ht="12">
      <c r="A305">
        <v>138</v>
      </c>
      <c r="B305">
        <f t="shared" si="2"/>
        <v>0.0010745238748571771</v>
      </c>
      <c r="C305">
        <f t="shared" si="3"/>
        <v>2.2883129816676628E-14</v>
      </c>
      <c r="E305">
        <v>3.33333333</v>
      </c>
      <c r="F305">
        <v>0.01351887</v>
      </c>
    </row>
    <row r="306" spans="1:6" ht="12">
      <c r="A306">
        <v>139</v>
      </c>
      <c r="B306">
        <f t="shared" si="2"/>
        <v>0.000905531282763068</v>
      </c>
      <c r="C306">
        <f t="shared" si="3"/>
        <v>4.9057105741956424E-15</v>
      </c>
      <c r="E306">
        <v>3.41666667</v>
      </c>
      <c r="F306">
        <v>0.01233839</v>
      </c>
    </row>
    <row r="307" spans="1:6" ht="12">
      <c r="A307">
        <v>140</v>
      </c>
      <c r="B307">
        <f t="shared" si="2"/>
        <v>0.0007597324020205564</v>
      </c>
      <c r="C307">
        <f t="shared" si="3"/>
        <v>1.0104542172846843E-15</v>
      </c>
      <c r="E307">
        <v>3.5</v>
      </c>
      <c r="F307">
        <v>0.01127322</v>
      </c>
    </row>
    <row r="308" spans="1:6" ht="12">
      <c r="A308">
        <v>141</v>
      </c>
      <c r="B308">
        <f t="shared" si="2"/>
        <v>0.0006345818440517036</v>
      </c>
      <c r="C308">
        <f t="shared" si="3"/>
        <v>1.9996757508419166E-16</v>
      </c>
      <c r="E308">
        <v>3.58333333</v>
      </c>
      <c r="F308">
        <v>0.01031117</v>
      </c>
    </row>
    <row r="309" spans="1:6" ht="12">
      <c r="A309">
        <v>142</v>
      </c>
      <c r="B309">
        <f t="shared" si="2"/>
        <v>0.0005276967725001549</v>
      </c>
      <c r="C309">
        <f t="shared" si="3"/>
        <v>3.802163077988229E-17</v>
      </c>
      <c r="E309">
        <v>3.66666667</v>
      </c>
      <c r="F309">
        <v>0.00944144</v>
      </c>
    </row>
    <row r="310" spans="1:6" ht="12">
      <c r="A310">
        <v>143</v>
      </c>
      <c r="B310">
        <f t="shared" si="2"/>
        <v>0.0004368688061838324</v>
      </c>
      <c r="C310">
        <f t="shared" si="3"/>
        <v>6.945925501100852E-18</v>
      </c>
      <c r="E310">
        <v>3.75</v>
      </c>
      <c r="F310">
        <v>0.00865439</v>
      </c>
    </row>
    <row r="311" spans="1:6" ht="12">
      <c r="A311">
        <v>144</v>
      </c>
      <c r="B311">
        <f t="shared" si="2"/>
        <v>0.0003600704122853452</v>
      </c>
      <c r="C311">
        <f t="shared" si="3"/>
        <v>1.219151626609034E-18</v>
      </c>
      <c r="E311">
        <v>3.83333333</v>
      </c>
      <c r="F311">
        <v>0.00794145</v>
      </c>
    </row>
    <row r="312" spans="1:6" ht="12">
      <c r="A312">
        <v>145</v>
      </c>
      <c r="B312">
        <f t="shared" si="2"/>
        <v>0.0002954565609646713</v>
      </c>
      <c r="C312">
        <f t="shared" si="3"/>
        <v>2.055954715508418E-19</v>
      </c>
      <c r="E312">
        <v>3.91666667</v>
      </c>
      <c r="F312">
        <v>0.00729499</v>
      </c>
    </row>
    <row r="313" spans="1:6" ht="12">
      <c r="A313">
        <v>146</v>
      </c>
      <c r="B313">
        <f t="shared" si="2"/>
        <v>0.00024136241533918433</v>
      </c>
      <c r="C313">
        <f t="shared" si="3"/>
        <v>3.331176066663045E-20</v>
      </c>
      <c r="E313">
        <v>4</v>
      </c>
      <c r="F313">
        <v>0.0067082</v>
      </c>
    </row>
    <row r="314" spans="1:3" ht="12">
      <c r="A314">
        <v>147</v>
      </c>
      <c r="B314">
        <f t="shared" si="2"/>
        <v>0.00019629780813770872</v>
      </c>
      <c r="C314">
        <f t="shared" si="3"/>
        <v>5.185729405163557E-21</v>
      </c>
    </row>
    <row r="315" spans="1:3" ht="12">
      <c r="A315">
        <v>148</v>
      </c>
      <c r="B315">
        <f t="shared" si="2"/>
        <v>0.00015893921352179674</v>
      </c>
      <c r="C315">
        <f t="shared" si="3"/>
        <v>7.756223867925309E-22</v>
      </c>
    </row>
    <row r="316" spans="1:3" ht="12">
      <c r="A316">
        <v>149</v>
      </c>
      <c r="B316">
        <f t="shared" si="2"/>
        <v>0.00012811986469666637</v>
      </c>
      <c r="C316">
        <f t="shared" si="3"/>
        <v>1.114600005180954E-22</v>
      </c>
    </row>
    <row r="317" spans="1:3" ht="12">
      <c r="A317">
        <v>150</v>
      </c>
      <c r="B317">
        <f t="shared" si="2"/>
        <v>0.00010281859981148411</v>
      </c>
      <c r="C317">
        <f t="shared" si="3"/>
        <v>1.5389197262205196E-23</v>
      </c>
    </row>
  </sheetData>
  <sheetProtection/>
  <hyperlinks>
    <hyperlink ref="B200" r:id="rId1" display="Point-biserial example JMP file"/>
  </hyperlinks>
  <printOptions/>
  <pageMargins left="0.75" right="0.75" top="1" bottom="1" header="0.5" footer="0.5"/>
  <pageSetup horizontalDpi="600" verticalDpi="600" orientation="portrait" r:id="rId16"/>
  <drawing r:id="rId15"/>
  <legacyDrawing r:id="rId14"/>
  <oleObjects>
    <oleObject progId="Equation.COEE2" shapeId="1516716" r:id="rId2"/>
    <oleObject progId="Equation.COEE2" shapeId="1517724" r:id="rId3"/>
    <oleObject progId="Equation.COEE2" shapeId="1523776" r:id="rId4"/>
    <oleObject progId="Equation.COEE2" shapeId="1533320" r:id="rId5"/>
    <oleObject progId="Equation.COEE2" shapeId="1553678" r:id="rId6"/>
    <oleObject progId="Equation.COEE2" shapeId="1559826" r:id="rId7"/>
    <oleObject progId="Equation.COEE2" shapeId="1602785" r:id="rId8"/>
    <oleObject progId="Equation.COEE2" shapeId="1996529" r:id="rId9"/>
    <oleObject progId="Equation.COEE2" shapeId="1997645" r:id="rId10"/>
    <oleObject progId="Equation.COEE2" shapeId="2021108" r:id="rId11"/>
    <oleObject progId="Equation.COEE2" shapeId="2028746" r:id="rId12"/>
    <oleObject progId="Equation.COEE2" shapeId="209915457" r:id="rId1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2:L107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12" ht="12.75">
      <c r="G12" s="46"/>
    </row>
    <row r="13" ht="12.75">
      <c r="J13" s="15"/>
    </row>
    <row r="16" spans="7:11" ht="12.75">
      <c r="G16" s="47"/>
      <c r="K16" s="46"/>
    </row>
    <row r="27" ht="12">
      <c r="E27" s="28"/>
    </row>
    <row r="29" ht="12.75">
      <c r="J29">
        <f>TANH(0.5493)</f>
        <v>0.4999953917353016</v>
      </c>
    </row>
    <row r="34" spans="9:10" ht="12.75">
      <c r="I34" s="14" t="s">
        <v>225</v>
      </c>
      <c r="J34" s="14" t="s">
        <v>226</v>
      </c>
    </row>
    <row r="35" spans="9:12" ht="12.75">
      <c r="I35">
        <v>0</v>
      </c>
      <c r="J35">
        <f>ATANH(I35)</f>
        <v>0</v>
      </c>
      <c r="K35">
        <v>0</v>
      </c>
      <c r="L35">
        <f>ATANH(K35)</f>
        <v>0</v>
      </c>
    </row>
    <row r="36" spans="9:12" ht="12.75">
      <c r="I36">
        <v>0.05</v>
      </c>
      <c r="J36">
        <f aca="true" t="shared" si="0" ref="J36:J55">ATANH(I36)</f>
        <v>0.05004172927849131</v>
      </c>
      <c r="K36">
        <v>-0.05</v>
      </c>
      <c r="L36">
        <f aca="true" t="shared" si="1" ref="L36:L55">ATANH(K36)</f>
        <v>-0.05004172927849133</v>
      </c>
    </row>
    <row r="37" spans="9:12" ht="12.75">
      <c r="I37">
        <v>0.1</v>
      </c>
      <c r="J37">
        <f t="shared" si="0"/>
        <v>0.10033534773107562</v>
      </c>
      <c r="K37">
        <v>-0.1</v>
      </c>
      <c r="L37">
        <f t="shared" si="1"/>
        <v>-0.10033534773107562</v>
      </c>
    </row>
    <row r="38" spans="9:12" ht="12.75">
      <c r="I38">
        <v>0.15</v>
      </c>
      <c r="J38">
        <f t="shared" si="0"/>
        <v>0.15114043593646675</v>
      </c>
      <c r="K38">
        <v>-0.15</v>
      </c>
      <c r="L38">
        <f t="shared" si="1"/>
        <v>-0.15114043593646675</v>
      </c>
    </row>
    <row r="39" spans="1:12" ht="12.75">
      <c r="A39" t="s">
        <v>222</v>
      </c>
      <c r="I39">
        <v>0.2</v>
      </c>
      <c r="J39">
        <f t="shared" si="0"/>
        <v>0.2027325540540821</v>
      </c>
      <c r="K39">
        <v>-0.2</v>
      </c>
      <c r="L39">
        <f t="shared" si="1"/>
        <v>-0.20273255405408214</v>
      </c>
    </row>
    <row r="40" spans="9:12" ht="12">
      <c r="I40">
        <v>0.25</v>
      </c>
      <c r="J40">
        <f t="shared" si="0"/>
        <v>0.25541281188299536</v>
      </c>
      <c r="K40">
        <v>-0.25</v>
      </c>
      <c r="L40">
        <f t="shared" si="1"/>
        <v>-0.25541281188299536</v>
      </c>
    </row>
    <row r="41" spans="2:12" ht="15.75">
      <c r="B41" s="29" t="s">
        <v>120</v>
      </c>
      <c r="E41" s="11" t="s">
        <v>113</v>
      </c>
      <c r="I41">
        <v>0.3</v>
      </c>
      <c r="J41">
        <f t="shared" si="0"/>
        <v>0.3095196042031118</v>
      </c>
      <c r="K41">
        <v>-0.3</v>
      </c>
      <c r="L41">
        <f t="shared" si="1"/>
        <v>-0.30951960420311175</v>
      </c>
    </row>
    <row r="42" spans="9:12" ht="12">
      <c r="I42">
        <v>0.35</v>
      </c>
      <c r="J42">
        <f t="shared" si="0"/>
        <v>0.3654437542713962</v>
      </c>
      <c r="K42">
        <v>-0.35</v>
      </c>
      <c r="L42">
        <f t="shared" si="1"/>
        <v>-0.3654437542713962</v>
      </c>
    </row>
    <row r="43" spans="2:12" ht="15">
      <c r="B43" s="29" t="s">
        <v>121</v>
      </c>
      <c r="E43" s="29" t="s">
        <v>122</v>
      </c>
      <c r="F43" s="9" t="s">
        <v>223</v>
      </c>
      <c r="G43" s="9" t="s">
        <v>224</v>
      </c>
      <c r="H43" s="29"/>
      <c r="I43">
        <v>0.4</v>
      </c>
      <c r="J43">
        <f t="shared" si="0"/>
        <v>0.42364893019360184</v>
      </c>
      <c r="K43">
        <v>-0.4</v>
      </c>
      <c r="L43">
        <f t="shared" si="1"/>
        <v>-0.4236489301936018</v>
      </c>
    </row>
    <row r="44" spans="5:12" ht="15">
      <c r="E44" s="29" t="s">
        <v>123</v>
      </c>
      <c r="F44" s="29" t="s">
        <v>114</v>
      </c>
      <c r="G44" s="29" t="s">
        <v>117</v>
      </c>
      <c r="H44" s="29"/>
      <c r="I44">
        <v>0.45</v>
      </c>
      <c r="J44">
        <f t="shared" si="0"/>
        <v>0.48470027859405174</v>
      </c>
      <c r="K44">
        <v>-0.45</v>
      </c>
      <c r="L44">
        <f t="shared" si="1"/>
        <v>-0.4847002785940517</v>
      </c>
    </row>
    <row r="45" spans="5:12" ht="15.75">
      <c r="E45" s="29" t="s">
        <v>124</v>
      </c>
      <c r="F45" s="29" t="s">
        <v>115</v>
      </c>
      <c r="G45" s="29" t="s">
        <v>119</v>
      </c>
      <c r="H45" s="29"/>
      <c r="I45">
        <v>0.5</v>
      </c>
      <c r="J45">
        <f t="shared" si="0"/>
        <v>0.5493061443340549</v>
      </c>
      <c r="K45">
        <v>-0.5</v>
      </c>
      <c r="L45">
        <f t="shared" si="1"/>
        <v>-0.5493061443340549</v>
      </c>
    </row>
    <row r="46" spans="5:12" ht="15">
      <c r="E46" s="44" t="s">
        <v>36</v>
      </c>
      <c r="F46" s="44" t="s">
        <v>36</v>
      </c>
      <c r="G46" s="44" t="s">
        <v>36</v>
      </c>
      <c r="H46" s="44"/>
      <c r="I46">
        <v>0.55</v>
      </c>
      <c r="J46">
        <f t="shared" si="0"/>
        <v>0.6183813135744636</v>
      </c>
      <c r="K46">
        <v>-0.55</v>
      </c>
      <c r="L46">
        <f t="shared" si="1"/>
        <v>-0.6183813135744635</v>
      </c>
    </row>
    <row r="47" spans="5:12" ht="15">
      <c r="E47" s="44" t="s">
        <v>36</v>
      </c>
      <c r="F47" s="44" t="s">
        <v>36</v>
      </c>
      <c r="G47" s="44" t="s">
        <v>36</v>
      </c>
      <c r="H47" s="44"/>
      <c r="I47">
        <v>0.6</v>
      </c>
      <c r="J47">
        <f t="shared" si="0"/>
        <v>0.6931471805599453</v>
      </c>
      <c r="K47">
        <v>-0.6</v>
      </c>
      <c r="L47">
        <f t="shared" si="1"/>
        <v>-0.6931471805599453</v>
      </c>
    </row>
    <row r="48" spans="5:12" ht="15">
      <c r="E48" s="44" t="s">
        <v>36</v>
      </c>
      <c r="F48" s="44" t="s">
        <v>36</v>
      </c>
      <c r="G48" s="44" t="s">
        <v>36</v>
      </c>
      <c r="H48" s="44"/>
      <c r="I48">
        <v>0.65</v>
      </c>
      <c r="J48">
        <f t="shared" si="0"/>
        <v>0.7752987062055835</v>
      </c>
      <c r="K48">
        <v>-0.65</v>
      </c>
      <c r="L48">
        <f t="shared" si="1"/>
        <v>-0.7752987062055835</v>
      </c>
    </row>
    <row r="49" spans="5:12" ht="21">
      <c r="E49" s="29" t="s">
        <v>125</v>
      </c>
      <c r="F49" s="29" t="s">
        <v>116</v>
      </c>
      <c r="G49" s="29" t="s">
        <v>118</v>
      </c>
      <c r="H49" s="29"/>
      <c r="I49">
        <v>0.7</v>
      </c>
      <c r="J49">
        <f t="shared" si="0"/>
        <v>0.8673005276940532</v>
      </c>
      <c r="K49">
        <v>-0.7</v>
      </c>
      <c r="L49">
        <f t="shared" si="1"/>
        <v>-0.8673005276940531</v>
      </c>
    </row>
    <row r="50" spans="9:12" ht="12">
      <c r="I50">
        <v>0.75</v>
      </c>
      <c r="J50">
        <f t="shared" si="0"/>
        <v>0.9729550745276566</v>
      </c>
      <c r="K50">
        <v>-0.75</v>
      </c>
      <c r="L50">
        <f t="shared" si="1"/>
        <v>-0.9729550745276567</v>
      </c>
    </row>
    <row r="51" spans="9:12" ht="12">
      <c r="I51">
        <v>0.8</v>
      </c>
      <c r="J51">
        <f t="shared" si="0"/>
        <v>1.0986122886681098</v>
      </c>
      <c r="K51">
        <v>-0.8</v>
      </c>
      <c r="L51">
        <f t="shared" si="1"/>
        <v>-1.0986122886681098</v>
      </c>
    </row>
    <row r="52" spans="9:12" ht="12">
      <c r="I52">
        <v>0.85</v>
      </c>
      <c r="J52">
        <f t="shared" si="0"/>
        <v>1.2561528119880574</v>
      </c>
      <c r="K52">
        <v>-0.85</v>
      </c>
      <c r="L52">
        <f t="shared" si="1"/>
        <v>-1.2561528119880574</v>
      </c>
    </row>
    <row r="53" spans="3:12" ht="12.75">
      <c r="C53" s="45" t="s">
        <v>161</v>
      </c>
      <c r="I53">
        <v>0.9</v>
      </c>
      <c r="J53">
        <f t="shared" si="0"/>
        <v>1.4722194895832204</v>
      </c>
      <c r="K53">
        <v>-0.9</v>
      </c>
      <c r="L53">
        <f t="shared" si="1"/>
        <v>-1.4722194895832204</v>
      </c>
    </row>
    <row r="54" spans="9:12" ht="12">
      <c r="I54">
        <v>0.95</v>
      </c>
      <c r="J54">
        <f t="shared" si="0"/>
        <v>1.8317808230648227</v>
      </c>
      <c r="K54">
        <v>-0.95</v>
      </c>
      <c r="L54">
        <f t="shared" si="1"/>
        <v>-1.8317808230648227</v>
      </c>
    </row>
    <row r="55" spans="7:12" ht="12">
      <c r="G55">
        <f>1/SQRT(28-3)</f>
        <v>0.2</v>
      </c>
      <c r="I55">
        <v>1</v>
      </c>
      <c r="J55" t="e">
        <f t="shared" si="0"/>
        <v>#NUM!</v>
      </c>
      <c r="K55">
        <v>-1</v>
      </c>
      <c r="L55" t="e">
        <f t="shared" si="1"/>
        <v>#NUM!</v>
      </c>
    </row>
    <row r="61" spans="7:9" ht="12.75">
      <c r="G61" t="s">
        <v>226</v>
      </c>
      <c r="H61">
        <f>1.099-1.96*0.2</f>
        <v>0.707</v>
      </c>
      <c r="I61">
        <f>1.099+1.96*0.2</f>
        <v>1.491</v>
      </c>
    </row>
    <row r="62" spans="7:9" ht="12.75">
      <c r="G62" t="s">
        <v>225</v>
      </c>
      <c r="H62">
        <f>TANH(H61)</f>
        <v>0.6087921642830306</v>
      </c>
      <c r="I62">
        <f>TANH(I61)</f>
        <v>0.9035085808427197</v>
      </c>
    </row>
    <row r="64" ht="12.75">
      <c r="H64" t="s">
        <v>227</v>
      </c>
    </row>
    <row r="73" ht="15">
      <c r="A73" s="10" t="s">
        <v>162</v>
      </c>
    </row>
    <row r="83" ht="15">
      <c r="A83" s="10" t="s">
        <v>163</v>
      </c>
    </row>
    <row r="84" ht="12.75">
      <c r="A84" s="11"/>
    </row>
    <row r="85" ht="12">
      <c r="A85" t="s">
        <v>135</v>
      </c>
    </row>
    <row r="86" ht="15">
      <c r="A86" s="9" t="s">
        <v>164</v>
      </c>
    </row>
    <row r="90" spans="5:10" ht="12">
      <c r="E90" t="s">
        <v>39</v>
      </c>
      <c r="F90" t="s">
        <v>42</v>
      </c>
      <c r="I90" t="s">
        <v>228</v>
      </c>
      <c r="J90" t="s">
        <v>42</v>
      </c>
    </row>
    <row r="91" spans="4:8" ht="12.75">
      <c r="D91" t="s">
        <v>165</v>
      </c>
      <c r="H91" t="s">
        <v>230</v>
      </c>
    </row>
    <row r="92" spans="4:8" ht="12.75">
      <c r="D92" t="s">
        <v>166</v>
      </c>
      <c r="H92" t="s">
        <v>231</v>
      </c>
    </row>
    <row r="93" spans="4:8" ht="12.75">
      <c r="D93" t="s">
        <v>167</v>
      </c>
      <c r="H93" t="s">
        <v>232</v>
      </c>
    </row>
    <row r="94" spans="4:8" ht="12.75">
      <c r="D94" t="s">
        <v>168</v>
      </c>
      <c r="H94" t="s">
        <v>233</v>
      </c>
    </row>
    <row r="95" spans="4:8" ht="12.75">
      <c r="D95" t="s">
        <v>169</v>
      </c>
      <c r="H95" t="s">
        <v>234</v>
      </c>
    </row>
    <row r="96" spans="4:8" ht="12.75">
      <c r="D96" t="s">
        <v>170</v>
      </c>
      <c r="H96" t="s">
        <v>235</v>
      </c>
    </row>
    <row r="97" spans="4:8" ht="12">
      <c r="D97" t="s">
        <v>171</v>
      </c>
      <c r="H97" t="s">
        <v>236</v>
      </c>
    </row>
    <row r="98" spans="4:8" ht="12">
      <c r="D98" t="s">
        <v>229</v>
      </c>
      <c r="H98" t="s">
        <v>237</v>
      </c>
    </row>
    <row r="100" ht="12">
      <c r="I100" s="45" t="s">
        <v>242</v>
      </c>
    </row>
    <row r="101" spans="2:8" ht="12">
      <c r="B101" s="1" t="s">
        <v>80</v>
      </c>
      <c r="C101" s="1" t="s">
        <v>225</v>
      </c>
      <c r="D101" s="1" t="s">
        <v>226</v>
      </c>
      <c r="H101" s="65" t="s">
        <v>241</v>
      </c>
    </row>
    <row r="102" spans="1:8" ht="12">
      <c r="A102" t="s">
        <v>238</v>
      </c>
      <c r="B102">
        <v>53</v>
      </c>
      <c r="C102">
        <v>0.5</v>
      </c>
      <c r="D102">
        <f>ATANH(C102)</f>
        <v>0.5493061443340549</v>
      </c>
      <c r="F102" s="45" t="s">
        <v>240</v>
      </c>
      <c r="G102">
        <f>(0.54931-0.30952)/SQRT(1/50+1/25)</f>
        <v>0.978938575703297</v>
      </c>
      <c r="H102">
        <v>0.3276</v>
      </c>
    </row>
    <row r="103" spans="1:6" ht="12">
      <c r="A103" t="s">
        <v>239</v>
      </c>
      <c r="B103">
        <v>28</v>
      </c>
      <c r="C103">
        <v>0.3</v>
      </c>
      <c r="D103">
        <f>ATANH(C103)</f>
        <v>0.3095196042031118</v>
      </c>
      <c r="F103" s="45" t="s">
        <v>208</v>
      </c>
    </row>
    <row r="104" ht="12">
      <c r="F104" s="45" t="s">
        <v>244</v>
      </c>
    </row>
    <row r="105" spans="1:7" ht="15">
      <c r="A105" s="58" t="s">
        <v>243</v>
      </c>
      <c r="G105" s="45" t="s">
        <v>245</v>
      </c>
    </row>
    <row r="106" ht="12">
      <c r="G106" s="45" t="s">
        <v>246</v>
      </c>
    </row>
    <row r="107" ht="12">
      <c r="G107" s="45" t="s">
        <v>247</v>
      </c>
    </row>
  </sheetData>
  <sheetProtection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COEE2" shapeId="644596" r:id="rId1"/>
    <oleObject progId="Equation.COEE2" shapeId="83004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7:M52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9.28125" style="0" customWidth="1"/>
  </cols>
  <sheetData>
    <row r="7" spans="11:12" ht="12.75">
      <c r="K7" s="1"/>
      <c r="L7" s="1"/>
    </row>
    <row r="10" spans="2:13" ht="12">
      <c r="B10" s="2"/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</row>
    <row r="11" spans="10:13" ht="12">
      <c r="J11" s="3"/>
      <c r="K11" s="4"/>
      <c r="L11" s="3"/>
      <c r="M11" s="3"/>
    </row>
    <row r="12" spans="10:13" ht="12.75">
      <c r="J12" s="3"/>
      <c r="K12" s="4"/>
      <c r="L12" s="4"/>
      <c r="M12" s="4"/>
    </row>
    <row r="13" spans="10:13" ht="12.75">
      <c r="J13" s="3"/>
      <c r="K13" s="3"/>
      <c r="L13" s="3"/>
      <c r="M13" s="3"/>
    </row>
    <row r="14" spans="10:13" ht="12.75">
      <c r="J14" s="3"/>
      <c r="K14" s="3"/>
      <c r="L14" s="3"/>
      <c r="M14" s="3"/>
    </row>
    <row r="15" spans="10:13" ht="12.75">
      <c r="J15" s="3"/>
      <c r="K15" s="3"/>
      <c r="L15" s="3"/>
      <c r="M15" s="3"/>
    </row>
    <row r="16" spans="10:13" ht="12.75">
      <c r="J16" s="3"/>
      <c r="K16" s="3"/>
      <c r="L16" s="3"/>
      <c r="M16" s="3"/>
    </row>
    <row r="17" spans="10:13" ht="12.75">
      <c r="J17" s="3"/>
      <c r="K17" s="3"/>
      <c r="L17" s="3"/>
      <c r="M17" s="3"/>
    </row>
    <row r="18" spans="10:13" ht="12.75">
      <c r="J18" s="3"/>
      <c r="K18" s="3"/>
      <c r="L18" s="3"/>
      <c r="M18" s="3"/>
    </row>
    <row r="19" spans="10:13" ht="12.75">
      <c r="J19" s="3"/>
      <c r="K19" s="3"/>
      <c r="L19" s="3"/>
      <c r="M19" s="3"/>
    </row>
    <row r="20" spans="10:13" ht="12.75">
      <c r="J20" s="3"/>
      <c r="K20" s="3"/>
      <c r="L20" s="3"/>
      <c r="M20" s="3"/>
    </row>
    <row r="21" spans="10:13" ht="12.75">
      <c r="J21" s="3"/>
      <c r="K21" s="3"/>
      <c r="L21" s="3"/>
      <c r="M21" s="3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35" spans="2:10" ht="12">
      <c r="B35" s="3"/>
      <c r="C35" s="3"/>
      <c r="D35" s="3"/>
      <c r="E35" s="3"/>
      <c r="F35" s="3"/>
      <c r="G35" s="3"/>
      <c r="H35" s="3"/>
      <c r="I35" s="3"/>
      <c r="J35" s="3"/>
    </row>
    <row r="36" spans="2:10" ht="12">
      <c r="B36" s="2"/>
      <c r="C36" s="2"/>
      <c r="D36" s="2"/>
      <c r="E36" s="2"/>
      <c r="F36" s="2"/>
      <c r="G36" s="2"/>
      <c r="H36" s="2"/>
      <c r="I36" s="2"/>
      <c r="J36" s="2"/>
    </row>
    <row r="52" spans="2:10" ht="12">
      <c r="B52" s="2"/>
      <c r="C52" s="2"/>
      <c r="D52" s="2"/>
      <c r="E52" s="2"/>
      <c r="F52" s="2"/>
      <c r="G52" s="2"/>
      <c r="H52" s="2"/>
      <c r="I52" s="2"/>
      <c r="J52" s="2"/>
    </row>
  </sheetData>
  <sheetProtection/>
  <printOptions/>
  <pageMargins left="0.75" right="0.75" top="1" bottom="1" header="0.5" footer="0.5"/>
  <pageSetup horizontalDpi="600" verticalDpi="600" orientation="portrait" r:id="rId72"/>
  <legacyDrawing r:id="rId71"/>
  <oleObjects>
    <oleObject progId="Equation.COEE2" shapeId="2758467" r:id="rId1"/>
    <oleObject progId="Equation.COEE2" shapeId="2758468" r:id="rId2"/>
    <oleObject progId="Equation.COEE2" shapeId="2758469" r:id="rId3"/>
    <oleObject progId="Equation.COEE2" shapeId="2758470" r:id="rId4"/>
    <oleObject progId="Equation.COEE2" shapeId="2758471" r:id="rId5"/>
    <oleObject progId="Equation.COEE2" shapeId="2758472" r:id="rId6"/>
    <oleObject progId="Equation.COEE2" shapeId="2758473" r:id="rId7"/>
    <oleObject progId="Equation.COEE2" shapeId="2758474" r:id="rId8"/>
    <oleObject progId="Equation.COEE2" shapeId="2758475" r:id="rId9"/>
    <oleObject progId="Equation.COEE2" shapeId="2758476" r:id="rId10"/>
    <oleObject progId="Equation.COEE2" shapeId="2758477" r:id="rId11"/>
    <oleObject progId="Equation.COEE2" shapeId="2758478" r:id="rId12"/>
    <oleObject progId="Equation.COEE2" shapeId="2758479" r:id="rId13"/>
    <oleObject progId="Equation.COEE2" shapeId="2758480" r:id="rId14"/>
    <oleObject progId="Equation.COEE2" shapeId="2758481" r:id="rId15"/>
    <oleObject progId="Equation.COEE2" shapeId="2758482" r:id="rId16"/>
    <oleObject progId="Equation.COEE2" shapeId="2758483" r:id="rId17"/>
    <oleObject progId="Equation.COEE2" shapeId="2758484" r:id="rId18"/>
    <oleObject progId="Equation.COEE2" shapeId="2758485" r:id="rId19"/>
    <oleObject progId="Equation.COEE2" shapeId="2758486" r:id="rId20"/>
    <oleObject progId="Equation.COEE2" shapeId="2758487" r:id="rId21"/>
    <oleObject progId="Equation.COEE2" shapeId="2758488" r:id="rId22"/>
    <oleObject progId="Equation.COEE2" shapeId="2758489" r:id="rId23"/>
    <oleObject progId="Equation.COEE2" shapeId="2758490" r:id="rId24"/>
    <oleObject progId="Equation.COEE2" shapeId="2758491" r:id="rId25"/>
    <oleObject progId="Equation.COEE2" shapeId="2758492" r:id="rId26"/>
    <oleObject progId="Equation.COEE2" shapeId="2758493" r:id="rId27"/>
    <oleObject progId="Equation.COEE2" shapeId="2758494" r:id="rId28"/>
    <oleObject progId="Equation.COEE2" shapeId="2758495" r:id="rId29"/>
    <oleObject progId="Equation.COEE2" shapeId="2758496" r:id="rId30"/>
    <oleObject progId="Equation.COEE2" shapeId="2758497" r:id="rId31"/>
    <oleObject progId="Equation.COEE2" shapeId="2758498" r:id="rId32"/>
    <oleObject progId="Equation.COEE2" shapeId="2758499" r:id="rId33"/>
    <oleObject progId="Equation.COEE2" shapeId="2758500" r:id="rId34"/>
    <oleObject progId="Equation.COEE2" shapeId="2758501" r:id="rId35"/>
    <oleObject progId="Equation.COEE2" shapeId="2758502" r:id="rId36"/>
    <oleObject progId="Equation.COEE2" shapeId="2966127" r:id="rId37"/>
    <oleObject progId="Equation.COEE2" shapeId="3087135" r:id="rId38"/>
    <oleObject progId="Equation.COEE2" shapeId="3092312" r:id="rId39"/>
    <oleObject progId="Equation.COEE2" shapeId="3095083" r:id="rId40"/>
    <oleObject progId="Equation.COEE2" shapeId="3352053" r:id="rId41"/>
    <oleObject progId="Equation.COEE2" shapeId="3525151" r:id="rId42"/>
    <oleObject progId="Equation.COEE2" shapeId="3536328" r:id="rId43"/>
    <oleObject progId="Equation.COEE2" shapeId="3539726" r:id="rId44"/>
    <oleObject progId="Equation.COEE2" shapeId="3550169" r:id="rId45"/>
    <oleObject progId="Equation.COEE2" shapeId="3564099" r:id="rId46"/>
    <oleObject progId="Equation.COEE2" shapeId="3574993" r:id="rId47"/>
    <oleObject progId="Equation.COEE2" shapeId="3581449" r:id="rId48"/>
    <oleObject progId="Equation.COEE2" shapeId="3589421" r:id="rId49"/>
    <oleObject progId="Equation.COEE2" shapeId="212554" r:id="rId50"/>
    <oleObject progId="Equation.COEE2" shapeId="241385" r:id="rId51"/>
    <oleObject progId="Equation.COEE2" shapeId="253015" r:id="rId52"/>
    <oleObject progId="Equation.COEE2" shapeId="640128" r:id="rId53"/>
    <oleObject progId="Equation.COEE2" shapeId="640933" r:id="rId54"/>
    <oleObject progId="Equation.COEE2" shapeId="650569" r:id="rId55"/>
    <oleObject progId="Equation.COEE2" shapeId="651392" r:id="rId56"/>
    <oleObject progId="Equation.COEE2" shapeId="658432" r:id="rId57"/>
    <oleObject progId="Equation.COEE2" shapeId="698972" r:id="rId58"/>
    <oleObject progId="Equation.COEE2" shapeId="699723" r:id="rId59"/>
    <oleObject progId="Equation.COEE2" shapeId="709732" r:id="rId60"/>
    <oleObject progId="Equation.COEE2" shapeId="1513302" r:id="rId61"/>
    <oleObject progId="Equation.COEE2" shapeId="1514178" r:id="rId62"/>
    <oleObject progId="Equation.COEE2" shapeId="1559188" r:id="rId63"/>
    <oleObject progId="Equation.COEE2" shapeId="1601981" r:id="rId64"/>
    <oleObject progId="Equation.COEE2" shapeId="1994668" r:id="rId65"/>
    <oleObject progId="Equation.COEE2" shapeId="1995690" r:id="rId66"/>
    <oleObject progId="Equation.COEE2" shapeId="2016579" r:id="rId67"/>
    <oleObject progId="Equation.COEE2" shapeId="840641" r:id="rId68"/>
    <oleObject progId="Equation.COEE2" shapeId="1652796" r:id="rId69"/>
    <oleObject progId="Equation.COEE2" shapeId="86680172" r:id="rId7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McFatter</dc:creator>
  <cp:keywords/>
  <dc:description/>
  <cp:lastModifiedBy>Robert McFatter</cp:lastModifiedBy>
  <dcterms:created xsi:type="dcterms:W3CDTF">2004-05-24T01:23:57Z</dcterms:created>
  <dcterms:modified xsi:type="dcterms:W3CDTF">2014-04-16T14:43:50Z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